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Cheryl.Thibideau\OneDrive - Telecommunications Industry Association\Desktop\TIA\Committees\TR-42\February 2021\TR-42.7\Contributions\"/>
    </mc:Choice>
  </mc:AlternateContent>
  <xr:revisionPtr revIDLastSave="0" documentId="8_{5371CD5E-73C5-41CB-BC5E-A95A0760E7A7}" xr6:coauthVersionLast="46" xr6:coauthVersionMax="46" xr10:uidLastSave="{00000000-0000-0000-0000-000000000000}"/>
  <bookViews>
    <workbookView xWindow="-110" yWindow="-110" windowWidth="19420" windowHeight="10420" xr2:uid="{3F71ED57-A5F5-4384-AC2F-5E26643220D5}"/>
  </bookViews>
  <sheets>
    <sheet name="Cover Sheet" sheetId="2" r:id="rId1"/>
    <sheet name="Formula &amp; Calculated Resul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8" i="3" l="1"/>
  <c r="B98" i="3" s="1"/>
  <c r="C97" i="3"/>
  <c r="D97" i="3" s="1"/>
  <c r="C96" i="3"/>
  <c r="B104" i="3" s="1"/>
  <c r="C104" i="3" s="1"/>
  <c r="C95" i="3"/>
  <c r="D103" i="3" s="1"/>
  <c r="C94" i="3"/>
  <c r="B94" i="3" s="1"/>
  <c r="C93" i="3"/>
  <c r="D93" i="3" s="1"/>
  <c r="F85" i="3"/>
  <c r="D85" i="3"/>
  <c r="B85" i="3"/>
  <c r="G49" i="3"/>
  <c r="G56" i="3" s="1"/>
  <c r="F49" i="3"/>
  <c r="F56" i="3" s="1"/>
  <c r="E49" i="3"/>
  <c r="E56" i="3" s="1"/>
  <c r="D49" i="3"/>
  <c r="D56" i="3" s="1"/>
  <c r="C49" i="3"/>
  <c r="C56" i="3" s="1"/>
  <c r="B49" i="3"/>
  <c r="B56" i="3" s="1"/>
  <c r="G48" i="3"/>
  <c r="G55" i="3" s="1"/>
  <c r="F48" i="3"/>
  <c r="F55" i="3" s="1"/>
  <c r="E48" i="3"/>
  <c r="E55" i="3" s="1"/>
  <c r="D69" i="3" s="1"/>
  <c r="D48" i="3"/>
  <c r="D55" i="3" s="1"/>
  <c r="C48" i="3"/>
  <c r="C55" i="3" s="1"/>
  <c r="B69" i="3" s="1"/>
  <c r="B48" i="3"/>
  <c r="B55" i="3" s="1"/>
  <c r="B73" i="3" s="1"/>
  <c r="G42" i="3"/>
  <c r="G43" i="3" s="1"/>
  <c r="G44" i="3" s="1"/>
  <c r="E42" i="3"/>
  <c r="E43" i="3" s="1"/>
  <c r="E44" i="3" s="1"/>
  <c r="G32" i="3"/>
  <c r="F32" i="3"/>
  <c r="E32" i="3"/>
  <c r="D32" i="3"/>
  <c r="C32" i="3"/>
  <c r="B32" i="3"/>
  <c r="A25" i="3"/>
  <c r="G25" i="3" s="1"/>
  <c r="A24" i="3"/>
  <c r="G24" i="3" s="1"/>
  <c r="B96" i="3" l="1"/>
  <c r="B25" i="3"/>
  <c r="C25" i="3"/>
  <c r="D25" i="3"/>
  <c r="D73" i="3"/>
  <c r="F25" i="3"/>
  <c r="C24" i="3"/>
  <c r="D104" i="3"/>
  <c r="C57" i="3"/>
  <c r="B70" i="3"/>
  <c r="F57" i="3"/>
  <c r="F136" i="3"/>
  <c r="F134" i="3"/>
  <c r="E136" i="3"/>
  <c r="E134" i="3"/>
  <c r="E132" i="3"/>
  <c r="F132" i="3" s="1"/>
  <c r="E130" i="3"/>
  <c r="E128" i="3"/>
  <c r="E126" i="3"/>
  <c r="F126" i="3" s="1"/>
  <c r="E124" i="3"/>
  <c r="E122" i="3"/>
  <c r="F122" i="3" s="1"/>
  <c r="E120" i="3"/>
  <c r="F120" i="3" s="1"/>
  <c r="E118" i="3"/>
  <c r="F118" i="3" s="1"/>
  <c r="E116" i="3"/>
  <c r="F116" i="3" s="1"/>
  <c r="E114" i="3"/>
  <c r="E112" i="3"/>
  <c r="G57" i="3"/>
  <c r="E135" i="3"/>
  <c r="F135" i="3" s="1"/>
  <c r="E131" i="3"/>
  <c r="E125" i="3"/>
  <c r="E121" i="3"/>
  <c r="F121" i="3" s="1"/>
  <c r="E115" i="3"/>
  <c r="F115" i="3" s="1"/>
  <c r="E133" i="3"/>
  <c r="E129" i="3"/>
  <c r="E123" i="3"/>
  <c r="F123" i="3" s="1"/>
  <c r="E119" i="3"/>
  <c r="F119" i="3" s="1"/>
  <c r="E117" i="3"/>
  <c r="F117" i="3" s="1"/>
  <c r="E113" i="3"/>
  <c r="F113" i="3" s="1"/>
  <c r="E127" i="3"/>
  <c r="F70" i="3"/>
  <c r="B57" i="3"/>
  <c r="B74" i="3"/>
  <c r="D74" i="3"/>
  <c r="D57" i="3"/>
  <c r="E57" i="3"/>
  <c r="D70" i="3"/>
  <c r="D77" i="3"/>
  <c r="B77" i="3"/>
  <c r="C125" i="3"/>
  <c r="B136" i="3"/>
  <c r="B134" i="3"/>
  <c r="B132" i="3"/>
  <c r="B130" i="3"/>
  <c r="C130" i="3" s="1"/>
  <c r="B128" i="3"/>
  <c r="B126" i="3"/>
  <c r="B124" i="3"/>
  <c r="C124" i="3" s="1"/>
  <c r="B122" i="3"/>
  <c r="C122" i="3" s="1"/>
  <c r="B120" i="3"/>
  <c r="B118" i="3"/>
  <c r="B116" i="3"/>
  <c r="B114" i="3"/>
  <c r="B112" i="3"/>
  <c r="C112" i="3" s="1"/>
  <c r="B135" i="3"/>
  <c r="B133" i="3"/>
  <c r="C133" i="3" s="1"/>
  <c r="B131" i="3"/>
  <c r="B129" i="3"/>
  <c r="C129" i="3" s="1"/>
  <c r="B127" i="3"/>
  <c r="B125" i="3"/>
  <c r="B123" i="3"/>
  <c r="B121" i="3"/>
  <c r="B119" i="3"/>
  <c r="B117" i="3"/>
  <c r="B115" i="3"/>
  <c r="B113" i="3"/>
  <c r="F69" i="3"/>
  <c r="F73" i="3" s="1"/>
  <c r="D94" i="3"/>
  <c r="D98" i="3"/>
  <c r="E25" i="3"/>
  <c r="B95" i="3"/>
  <c r="B101" i="3"/>
  <c r="C101" i="3" s="1"/>
  <c r="B105" i="3"/>
  <c r="C105" i="3" s="1"/>
  <c r="B24" i="3"/>
  <c r="D95" i="3"/>
  <c r="D101" i="3"/>
  <c r="D105" i="3"/>
  <c r="E24" i="3"/>
  <c r="D96" i="3"/>
  <c r="D102" i="3"/>
  <c r="D106" i="3"/>
  <c r="B102" i="3"/>
  <c r="C102" i="3" s="1"/>
  <c r="B106" i="3"/>
  <c r="C106" i="3" s="1"/>
  <c r="D24" i="3"/>
  <c r="F24" i="3"/>
  <c r="B93" i="3"/>
  <c r="B97" i="3"/>
  <c r="B103" i="3"/>
  <c r="C103" i="3" s="1"/>
  <c r="G115" i="3" l="1"/>
  <c r="D135" i="3"/>
  <c r="D134" i="3"/>
  <c r="G135" i="3"/>
  <c r="G132" i="3"/>
  <c r="F131" i="3"/>
  <c r="G131" i="3" s="1"/>
  <c r="C135" i="3"/>
  <c r="C132" i="3"/>
  <c r="D132" i="3" s="1"/>
  <c r="G134" i="3"/>
  <c r="C127" i="3"/>
  <c r="D127" i="3" s="1"/>
  <c r="C113" i="3"/>
  <c r="D113" i="3" s="1"/>
  <c r="C134" i="3"/>
  <c r="G113" i="3"/>
  <c r="G136" i="3"/>
  <c r="D133" i="3"/>
  <c r="C115" i="3"/>
  <c r="D115" i="3" s="1"/>
  <c r="C136" i="3"/>
  <c r="D136" i="3" s="1"/>
  <c r="G117" i="3"/>
  <c r="F114" i="3"/>
  <c r="G114" i="3" s="1"/>
  <c r="F74" i="3"/>
  <c r="F78" i="3" s="1"/>
  <c r="D129" i="3"/>
  <c r="C131" i="3"/>
  <c r="D131" i="3" s="1"/>
  <c r="D119" i="3"/>
  <c r="D118" i="3"/>
  <c r="C117" i="3"/>
  <c r="D117" i="3" s="1"/>
  <c r="C114" i="3"/>
  <c r="D114" i="3" s="1"/>
  <c r="G119" i="3"/>
  <c r="G116" i="3"/>
  <c r="F125" i="3"/>
  <c r="G125" i="3" s="1"/>
  <c r="F112" i="3"/>
  <c r="G112" i="3" s="1"/>
  <c r="F77" i="3"/>
  <c r="C119" i="3"/>
  <c r="C116" i="3"/>
  <c r="D116" i="3" s="1"/>
  <c r="G123" i="3"/>
  <c r="G118" i="3"/>
  <c r="F127" i="3"/>
  <c r="G127" i="3" s="1"/>
  <c r="F124" i="3"/>
  <c r="G124" i="3" s="1"/>
  <c r="G126" i="3"/>
  <c r="D112" i="3"/>
  <c r="D122" i="3"/>
  <c r="C121" i="3"/>
  <c r="D121" i="3" s="1"/>
  <c r="C118" i="3"/>
  <c r="D78" i="3"/>
  <c r="G120" i="3"/>
  <c r="F128" i="3"/>
  <c r="G128" i="3" s="1"/>
  <c r="F129" i="3"/>
  <c r="G129" i="3" s="1"/>
  <c r="B78" i="3"/>
  <c r="G121" i="3"/>
  <c r="D130" i="3"/>
  <c r="C126" i="3"/>
  <c r="D126" i="3" s="1"/>
  <c r="C128" i="3"/>
  <c r="D128" i="3" s="1"/>
  <c r="D125" i="3"/>
  <c r="D124" i="3"/>
  <c r="C123" i="3"/>
  <c r="D123" i="3" s="1"/>
  <c r="C120" i="3"/>
  <c r="D120" i="3" s="1"/>
  <c r="G122" i="3"/>
  <c r="F130" i="3"/>
  <c r="G130" i="3" s="1"/>
  <c r="F133" i="3"/>
  <c r="G133" i="3" s="1"/>
</calcChain>
</file>

<file path=xl/sharedStrings.xml><?xml version="1.0" encoding="utf-8"?>
<sst xmlns="http://schemas.openxmlformats.org/spreadsheetml/2006/main" count="199" uniqueCount="142">
  <si>
    <t>Cable</t>
    <phoneticPr fontId="2"/>
  </si>
  <si>
    <t>f (MHz)</t>
    <phoneticPr fontId="2"/>
  </si>
  <si>
    <t>Initial</t>
    <phoneticPr fontId="2"/>
  </si>
  <si>
    <t>Aged</t>
    <phoneticPr fontId="2"/>
  </si>
  <si>
    <t>Sqrt(f)</t>
    <phoneticPr fontId="2"/>
  </si>
  <si>
    <t>(A)UTP Cat5e PVC</t>
    <phoneticPr fontId="2"/>
  </si>
  <si>
    <t>(B)UTP Cat5e PVC</t>
    <phoneticPr fontId="2"/>
  </si>
  <si>
    <t>(C)Quabbin Cat5 PVC</t>
    <phoneticPr fontId="2"/>
  </si>
  <si>
    <t>Aged 40degC, 90%R/H, 2 weeks</t>
    <phoneticPr fontId="2"/>
  </si>
  <si>
    <t>HDPE, 7/32AWG TP</t>
    <phoneticPr fontId="2"/>
  </si>
  <si>
    <t>Material</t>
    <phoneticPr fontId="2"/>
  </si>
  <si>
    <t>PE, 0.525A</t>
    <phoneticPr fontId="2"/>
  </si>
  <si>
    <t>PE, 7/0.208A</t>
    <phoneticPr fontId="2"/>
  </si>
  <si>
    <t>Stored in garage for 23 Yrs</t>
    <phoneticPr fontId="2"/>
  </si>
  <si>
    <t>Delta (%)</t>
    <phoneticPr fontId="2"/>
  </si>
  <si>
    <r>
      <rPr>
        <sz val="11"/>
        <color theme="1"/>
        <rFont val="Arial"/>
        <family val="2"/>
      </rPr>
      <t>ρ</t>
    </r>
    <r>
      <rPr>
        <sz val="11"/>
        <color theme="1"/>
        <rFont val="Calibri"/>
        <family val="3"/>
        <charset val="128"/>
        <scheme val="minor"/>
      </rPr>
      <t xml:space="preserve"> of Solid Cu</t>
    </r>
    <phoneticPr fontId="2"/>
  </si>
  <si>
    <t>Ohm/mm^2/m</t>
    <phoneticPr fontId="2"/>
  </si>
  <si>
    <r>
      <rPr>
        <sz val="11"/>
        <color theme="1"/>
        <rFont val="Arial"/>
        <family val="2"/>
      </rPr>
      <t>ρ</t>
    </r>
    <r>
      <rPr>
        <sz val="11"/>
        <color theme="1"/>
        <rFont val="Calibri"/>
        <family val="3"/>
        <charset val="128"/>
        <scheme val="minor"/>
      </rPr>
      <t xml:space="preserve"> of Strd Cu</t>
    </r>
    <phoneticPr fontId="2"/>
  </si>
  <si>
    <r>
      <t>Tan</t>
    </r>
    <r>
      <rPr>
        <sz val="11"/>
        <color theme="1"/>
        <rFont val="Arial"/>
        <family val="2"/>
      </rPr>
      <t>δ</t>
    </r>
    <r>
      <rPr>
        <sz val="11"/>
        <color theme="1"/>
        <rFont val="游ゴシック"/>
        <family val="3"/>
        <charset val="128"/>
      </rPr>
      <t xml:space="preserve"> Solid Cu</t>
    </r>
    <phoneticPr fontId="2"/>
  </si>
  <si>
    <t>Tanδ Strd Cu</t>
    <phoneticPr fontId="2"/>
  </si>
  <si>
    <t>μ</t>
    <phoneticPr fontId="2"/>
  </si>
  <si>
    <r>
      <t>Tan</t>
    </r>
    <r>
      <rPr>
        <sz val="11"/>
        <color theme="1"/>
        <rFont val="Arial"/>
        <family val="2"/>
      </rPr>
      <t>δ</t>
    </r>
    <r>
      <rPr>
        <sz val="11"/>
        <color theme="1"/>
        <rFont val="游ゴシック"/>
        <family val="3"/>
        <charset val="128"/>
      </rPr>
      <t>tw PVC</t>
    </r>
    <phoneticPr fontId="2"/>
  </si>
  <si>
    <r>
      <t>Tan</t>
    </r>
    <r>
      <rPr>
        <sz val="11"/>
        <color theme="1"/>
        <rFont val="Arial"/>
        <family val="2"/>
      </rPr>
      <t>δ</t>
    </r>
    <r>
      <rPr>
        <sz val="11"/>
        <color theme="1"/>
        <rFont val="游ゴシック"/>
        <family val="3"/>
        <charset val="128"/>
      </rPr>
      <t>tw LSZH</t>
    </r>
    <phoneticPr fontId="2"/>
  </si>
  <si>
    <t>C</t>
    <phoneticPr fontId="2"/>
  </si>
  <si>
    <t>d Solid Cond.</t>
    <phoneticPr fontId="2"/>
  </si>
  <si>
    <t>mm</t>
    <phoneticPr fontId="2"/>
  </si>
  <si>
    <t>d Strd Equiv.</t>
    <phoneticPr fontId="2"/>
  </si>
  <si>
    <t>Equivalent mm</t>
    <phoneticPr fontId="2"/>
  </si>
  <si>
    <r>
      <t>Tan</t>
    </r>
    <r>
      <rPr>
        <sz val="11"/>
        <color theme="1"/>
        <rFont val="Arial"/>
        <family val="2"/>
      </rPr>
      <t>δ</t>
    </r>
    <phoneticPr fontId="2"/>
  </si>
  <si>
    <t>Zc</t>
    <phoneticPr fontId="2"/>
  </si>
  <si>
    <t>Ohm</t>
    <phoneticPr fontId="2"/>
  </si>
  <si>
    <t>F/m</t>
    <phoneticPr fontId="2"/>
  </si>
  <si>
    <t>4πE-7</t>
    <phoneticPr fontId="2"/>
  </si>
  <si>
    <r>
      <t>(A): α</t>
    </r>
    <r>
      <rPr>
        <sz val="11"/>
        <color theme="1"/>
        <rFont val="游ゴシック"/>
        <family val="3"/>
        <charset val="128"/>
      </rPr>
      <t>i</t>
    </r>
    <phoneticPr fontId="2"/>
  </si>
  <si>
    <r>
      <t>(A): α</t>
    </r>
    <r>
      <rPr>
        <sz val="11"/>
        <color theme="1"/>
        <rFont val="游ゴシック"/>
        <family val="3"/>
        <charset val="128"/>
      </rPr>
      <t>a</t>
    </r>
    <phoneticPr fontId="2"/>
  </si>
  <si>
    <r>
      <t>(B): α</t>
    </r>
    <r>
      <rPr>
        <sz val="11"/>
        <color theme="1"/>
        <rFont val="游ゴシック"/>
        <family val="3"/>
        <charset val="128"/>
      </rPr>
      <t>i</t>
    </r>
    <phoneticPr fontId="2"/>
  </si>
  <si>
    <r>
      <t>(B): α</t>
    </r>
    <r>
      <rPr>
        <sz val="11"/>
        <color theme="1"/>
        <rFont val="游ゴシック"/>
        <family val="3"/>
        <charset val="128"/>
      </rPr>
      <t>a</t>
    </r>
    <phoneticPr fontId="2"/>
  </si>
  <si>
    <r>
      <t>(C): α</t>
    </r>
    <r>
      <rPr>
        <sz val="11"/>
        <color theme="1"/>
        <rFont val="游ゴシック"/>
        <family val="3"/>
        <charset val="128"/>
      </rPr>
      <t>i</t>
    </r>
    <phoneticPr fontId="2"/>
  </si>
  <si>
    <r>
      <t>(C): α</t>
    </r>
    <r>
      <rPr>
        <sz val="11"/>
        <color theme="1"/>
        <rFont val="游ゴシック"/>
        <family val="3"/>
        <charset val="128"/>
      </rPr>
      <t>a</t>
    </r>
    <phoneticPr fontId="2"/>
  </si>
  <si>
    <r>
      <t>(A): α</t>
    </r>
    <r>
      <rPr>
        <sz val="11"/>
        <color theme="1"/>
        <rFont val="游ゴシック"/>
        <family val="3"/>
        <charset val="128"/>
      </rPr>
      <t>i</t>
    </r>
    <r>
      <rPr>
        <sz val="11"/>
        <color theme="1"/>
        <rFont val="游ゴシック"/>
        <family val="2"/>
        <charset val="128"/>
      </rPr>
      <t>/sqrt(f)</t>
    </r>
    <phoneticPr fontId="2"/>
  </si>
  <si>
    <r>
      <t>(A): α</t>
    </r>
    <r>
      <rPr>
        <sz val="11"/>
        <color theme="1"/>
        <rFont val="游ゴシック"/>
        <family val="3"/>
        <charset val="128"/>
      </rPr>
      <t>a/sqrt(f)</t>
    </r>
    <phoneticPr fontId="2"/>
  </si>
  <si>
    <r>
      <t>(B): α</t>
    </r>
    <r>
      <rPr>
        <sz val="11"/>
        <color theme="1"/>
        <rFont val="游ゴシック"/>
        <family val="3"/>
        <charset val="128"/>
      </rPr>
      <t>i</t>
    </r>
    <r>
      <rPr>
        <sz val="11"/>
        <color theme="1"/>
        <rFont val="游ゴシック"/>
        <family val="2"/>
        <charset val="128"/>
      </rPr>
      <t>/sqrt(f)</t>
    </r>
    <phoneticPr fontId="2"/>
  </si>
  <si>
    <r>
      <t>(B): α</t>
    </r>
    <r>
      <rPr>
        <sz val="11"/>
        <color theme="1"/>
        <rFont val="游ゴシック"/>
        <family val="3"/>
        <charset val="128"/>
      </rPr>
      <t>a/sqrt(f)</t>
    </r>
    <phoneticPr fontId="2"/>
  </si>
  <si>
    <r>
      <t>(C): α</t>
    </r>
    <r>
      <rPr>
        <sz val="11"/>
        <color theme="1"/>
        <rFont val="游ゴシック"/>
        <family val="3"/>
        <charset val="128"/>
      </rPr>
      <t>a/sqrt(f)</t>
    </r>
    <phoneticPr fontId="2"/>
  </si>
  <si>
    <t>(A): A</t>
    <phoneticPr fontId="2"/>
  </si>
  <si>
    <t>(A): B</t>
    <phoneticPr fontId="2"/>
  </si>
  <si>
    <t>(B): A</t>
    <phoneticPr fontId="2"/>
  </si>
  <si>
    <t>(B): B</t>
    <phoneticPr fontId="2"/>
  </si>
  <si>
    <t>(C): A</t>
    <phoneticPr fontId="2"/>
  </si>
  <si>
    <t>(C): B</t>
    <phoneticPr fontId="2"/>
  </si>
  <si>
    <t>Logarithm</t>
    <phoneticPr fontId="2"/>
  </si>
  <si>
    <t>Numerical</t>
    <phoneticPr fontId="2"/>
  </si>
  <si>
    <t>Y=A(Neper/Hz/m)X + B (Neper/Sqrt(Hz)/m)</t>
    <phoneticPr fontId="2"/>
  </si>
  <si>
    <t>Y=A(dB/MHz/100m)X + B (dB/Sqrt(MHz)/100m)</t>
    <phoneticPr fontId="2"/>
  </si>
  <si>
    <t>Delta(%)</t>
    <phoneticPr fontId="2"/>
  </si>
  <si>
    <t>ρ(Ohm/mm^2/m)</t>
    <phoneticPr fontId="2"/>
  </si>
  <si>
    <r>
      <t>ρ(Ohm/mm^</t>
    </r>
    <r>
      <rPr>
        <sz val="10"/>
        <color theme="1"/>
        <rFont val="游ゴシック"/>
        <family val="2"/>
        <charset val="128"/>
      </rPr>
      <t>2</t>
    </r>
    <r>
      <rPr>
        <sz val="10"/>
        <color theme="1"/>
        <rFont val="Arial"/>
        <family val="2"/>
      </rPr>
      <t>/m)</t>
    </r>
    <phoneticPr fontId="2"/>
  </si>
  <si>
    <t>B at 100MHz, K=2.6</t>
    <phoneticPr fontId="2"/>
  </si>
  <si>
    <t>Neper/m</t>
  </si>
  <si>
    <t>Neper/m</t>
    <phoneticPr fontId="2"/>
  </si>
  <si>
    <t>Neper/100m</t>
  </si>
  <si>
    <t>Neper/100m</t>
    <phoneticPr fontId="2"/>
  </si>
  <si>
    <t>dB/100m</t>
  </si>
  <si>
    <t>dB/100m</t>
    <phoneticPr fontId="2"/>
  </si>
  <si>
    <t>Solid Conductor, B=1.87</t>
    <phoneticPr fontId="2"/>
  </si>
  <si>
    <t>Stranded Conductor, B=2.06</t>
    <phoneticPr fontId="2"/>
  </si>
  <si>
    <t>B at 100 MHz, K=2.33</t>
    <phoneticPr fontId="2"/>
  </si>
  <si>
    <t>K input column</t>
    <phoneticPr fontId="2"/>
  </si>
  <si>
    <r>
      <t>Real (Zc)=100+100/(2*3.1415*d*Le)*Sqrt(μ</t>
    </r>
    <r>
      <rPr>
        <sz val="11"/>
        <color theme="1"/>
        <rFont val="游ゴシック"/>
        <family val="2"/>
        <charset val="128"/>
      </rPr>
      <t>ρ</t>
    </r>
    <r>
      <rPr>
        <sz val="11"/>
        <color theme="1"/>
        <rFont val="游ゴシック"/>
        <family val="3"/>
        <charset val="128"/>
      </rPr>
      <t>/3.1415)*(1/Sqrt(f))</t>
    </r>
    <r>
      <rPr>
        <sz val="11"/>
        <color theme="1"/>
        <rFont val="Calibri"/>
        <family val="2"/>
        <charset val="128"/>
        <scheme val="minor"/>
      </rPr>
      <t>=100+Z1</t>
    </r>
    <phoneticPr fontId="2"/>
  </si>
  <si>
    <r>
      <t>Im (Zc)=-100/(2*3.1415*d*Le)*Sqrt(μρ/3.1415)*(1/Sqrt(f))+100/2*(Tan</t>
    </r>
    <r>
      <rPr>
        <sz val="11"/>
        <color theme="1"/>
        <rFont val="游ゴシック"/>
        <family val="2"/>
        <charset val="128"/>
      </rPr>
      <t>δ</t>
    </r>
    <r>
      <rPr>
        <sz val="11"/>
        <color theme="1"/>
        <rFont val="游ゴシック"/>
        <family val="3"/>
        <charset val="128"/>
      </rPr>
      <t>- Tan</t>
    </r>
    <r>
      <rPr>
        <sz val="11"/>
        <color theme="1"/>
        <rFont val="游ゴシック"/>
        <family val="2"/>
        <charset val="128"/>
      </rPr>
      <t>δ</t>
    </r>
    <r>
      <rPr>
        <sz val="11"/>
        <color theme="1"/>
        <rFont val="游ゴシック"/>
        <family val="3"/>
        <charset val="128"/>
      </rPr>
      <t>tw)</t>
    </r>
    <r>
      <rPr>
        <sz val="11"/>
        <color theme="1"/>
        <rFont val="Calibri"/>
        <family val="2"/>
        <charset val="128"/>
        <scheme val="minor"/>
      </rPr>
      <t>=-Z1+100/2*(Tanδ- Tanδtw)</t>
    </r>
    <phoneticPr fontId="2"/>
  </si>
  <si>
    <t>Le=0.5mH/km</t>
    <phoneticPr fontId="2"/>
  </si>
  <si>
    <t>(H/m)</t>
    <phoneticPr fontId="2"/>
  </si>
  <si>
    <t>(Hz)</t>
    <phoneticPr fontId="2"/>
  </si>
  <si>
    <t>Im Zc</t>
    <phoneticPr fontId="2"/>
  </si>
  <si>
    <t xml:space="preserve">initial </t>
    <phoneticPr fontId="2"/>
  </si>
  <si>
    <t>real Zc</t>
    <phoneticPr fontId="2"/>
  </si>
  <si>
    <t>100+Z1</t>
    <phoneticPr fontId="2"/>
  </si>
  <si>
    <t>f=100MHz</t>
    <phoneticPr fontId="2"/>
  </si>
  <si>
    <t>Z=Sqrt(Le/C) at high frequency</t>
    <phoneticPr fontId="2"/>
  </si>
  <si>
    <t>Le=C*Zc^2(H/m)</t>
    <phoneticPr fontId="2"/>
  </si>
  <si>
    <t>Le=1E-7(4*Ln(2*0.71/0.52)+1)=5.0E-7(H/loop-m)</t>
    <phoneticPr fontId="2"/>
  </si>
  <si>
    <t>Le=μ0/4PAI(4Ln(D/2d)+μ)(H/loop-m), μ0=4PAIE-7(H/m), μ=1</t>
    <phoneticPr fontId="2"/>
  </si>
  <si>
    <t xml:space="preserve"> </t>
    <phoneticPr fontId="2"/>
  </si>
  <si>
    <t>Calculation of Characteristic Impedance (Zc)</t>
    <phoneticPr fontId="2"/>
  </si>
  <si>
    <t>(C): αi/sqrt(f)*1</t>
    <phoneticPr fontId="2"/>
  </si>
  <si>
    <t>*1: Assumed data</t>
    <phoneticPr fontId="2"/>
  </si>
  <si>
    <t>*2: Zc calculated from enveloped-RL at around 400MHz.</t>
    <phoneticPr fontId="2"/>
  </si>
  <si>
    <t>Zc=111-123ohm*2</t>
    <phoneticPr fontId="2"/>
  </si>
  <si>
    <t>Zc=Sqrt(Le/C)</t>
    <phoneticPr fontId="2"/>
  </si>
  <si>
    <t>Equivalent d</t>
    <phoneticPr fontId="2"/>
  </si>
  <si>
    <t>Le=1E-7(4*Ln(2*D/d)+1)</t>
    <phoneticPr fontId="2"/>
  </si>
  <si>
    <t>Le (H/loop-m)</t>
    <phoneticPr fontId="2"/>
  </si>
  <si>
    <t>C=50nF/km</t>
    <phoneticPr fontId="2"/>
  </si>
  <si>
    <t>Zc=sqrt(Le/C)</t>
    <phoneticPr fontId="2"/>
  </si>
  <si>
    <t>RL (dB)</t>
    <phoneticPr fontId="2"/>
  </si>
  <si>
    <t>Le (mH/Km)</t>
    <phoneticPr fontId="2"/>
  </si>
  <si>
    <t>Zc (Ohm)</t>
    <phoneticPr fontId="2"/>
  </si>
  <si>
    <t>Initial Zc (Ohm)</t>
    <phoneticPr fontId="2"/>
  </si>
  <si>
    <t>Aged Zc (Ohm)</t>
    <phoneticPr fontId="2"/>
  </si>
  <si>
    <t>D=0.92mm</t>
    <phoneticPr fontId="2"/>
  </si>
  <si>
    <t>Document Submitted to: TR-42.7.n Meeting</t>
    <phoneticPr fontId="12" type="noConversion"/>
  </si>
  <si>
    <t>Source</t>
  </si>
  <si>
    <t>Chief Engineer (Japan Natainal Certificate for Tx, Ex. &amp; Line Plant)</t>
    <phoneticPr fontId="12" type="noConversion"/>
  </si>
  <si>
    <t>Contact</t>
  </si>
  <si>
    <t>Name:</t>
  </si>
  <si>
    <t>Shinji Hinoshita (Mr.)</t>
    <phoneticPr fontId="12" type="noConversion"/>
  </si>
  <si>
    <t>Complete Address:</t>
  </si>
  <si>
    <t>3-36-7 Kawajiri-Cho, Hitachi City, Japan 319-1411</t>
    <phoneticPr fontId="12" type="noConversion"/>
  </si>
  <si>
    <t>Phone:</t>
  </si>
  <si>
    <t>+81294429459</t>
    <phoneticPr fontId="12" type="noConversion"/>
  </si>
  <si>
    <t>Fax:</t>
  </si>
  <si>
    <t>Ditto</t>
    <phoneticPr fontId="12" type="noConversion"/>
  </si>
  <si>
    <t>Email:</t>
  </si>
  <si>
    <t>hinos@crocus.ocn.ne.jp</t>
    <phoneticPr fontId="12" type="noConversion"/>
  </si>
  <si>
    <t>Title</t>
  </si>
  <si>
    <t xml:space="preserve">Study of limitation of stranded conductor for Cat. 6A patch cord due to H2O diffusion </t>
    <phoneticPr fontId="12" type="noConversion"/>
  </si>
  <si>
    <t>Project Number</t>
  </si>
  <si>
    <t>NA</t>
    <phoneticPr fontId="12" type="noConversion"/>
  </si>
  <si>
    <t>Distribution</t>
  </si>
  <si>
    <t>TR-41.7.n</t>
    <phoneticPr fontId="12" type="noConversion"/>
  </si>
  <si>
    <t>Intended Purpose of Document  (Select one)</t>
  </si>
  <si>
    <t>For Incorporation Into TIA Publication</t>
  </si>
  <si>
    <t>For Information</t>
  </si>
  <si>
    <t>Amendment</t>
    <phoneticPr fontId="12" type="noConversion"/>
  </si>
  <si>
    <t>TIA-568.2D, relavant clause of stranded conductor stipulation</t>
    <phoneticPr fontId="12" type="noConversion"/>
  </si>
  <si>
    <t>Abstract; Presentation of revised formulas of loss, Zc and Le with practical calculation result to fit the actual measured data. As a result of acuurate fit, Zc increase causes due to Le frequency increase dependency according to high frequency resistance (Rs) increase, namely equivalent volume resistivity increase, which is derived by H2O molecular diffusion into strand gap during life aging.</t>
    <phoneticPr fontId="12" type="noConversion"/>
  </si>
  <si>
    <t>Pattent Disclosure (Optional)</t>
  </si>
  <si>
    <t>The Source may have patent(s) and/or published pending patent application(s) that may be essential to the practice of all or part of this Contribution as incorporated in a TIA Publication, and the Source is willing to comply with Sections 3.2 Intellectual Property Rights (IPR) of the TIA Engineering Committee Operating Procedures (ECOP) dated July 7, 2019 as to such patent(s) and/or published pending patent application(s).</t>
  </si>
  <si>
    <t>Telecommunications Industry Association (TIA)</t>
    <phoneticPr fontId="2"/>
  </si>
  <si>
    <t>Function Built-In Column</t>
  </si>
  <si>
    <t>Function Fit data</t>
    <phoneticPr fontId="2"/>
  </si>
  <si>
    <t>Le=5.0E-7EXP(0.00065f)</t>
    <phoneticPr fontId="2"/>
  </si>
  <si>
    <t xml:space="preserve">Initial </t>
    <phoneticPr fontId="2"/>
  </si>
  <si>
    <t>f (Hz)</t>
    <phoneticPr fontId="2"/>
  </si>
  <si>
    <t>Real Zci</t>
    <phoneticPr fontId="2"/>
  </si>
  <si>
    <t>Im Zci</t>
    <phoneticPr fontId="2"/>
  </si>
  <si>
    <t>Zci</t>
    <phoneticPr fontId="2"/>
  </si>
  <si>
    <t>Real Zca</t>
    <phoneticPr fontId="2"/>
  </si>
  <si>
    <t>Im Zca</t>
    <phoneticPr fontId="2"/>
  </si>
  <si>
    <t>Zca</t>
    <phoneticPr fontId="2"/>
  </si>
  <si>
    <t>Date: October 26, 2020</t>
    <phoneticPr fontId="2"/>
  </si>
  <si>
    <t>TR-42.7-2021-02-007a</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</si>
</sst>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 "/>
    <numFmt numFmtId="165" formatCode="0.00_ "/>
    <numFmt numFmtId="166" formatCode="0.000_ "/>
    <numFmt numFmtId="167" formatCode="0_ "/>
  </numFmts>
  <fonts count="15">
    <font>
      <sz val="11"/>
      <color theme="1"/>
      <name val="Calibri"/>
      <family val="2"/>
      <charset val="128"/>
      <scheme val="minor"/>
    </font>
    <font>
      <sz val="11"/>
      <color theme="1"/>
      <name val="游ゴシック"/>
      <family val="2"/>
      <charset val="128"/>
    </font>
    <font>
      <sz val="6"/>
      <name val="Calibri"/>
      <family val="2"/>
      <charset val="128"/>
      <scheme val="minor"/>
    </font>
    <font>
      <sz val="11"/>
      <color theme="1"/>
      <name val="游ゴシック"/>
      <family val="3"/>
      <charset val="128"/>
    </font>
    <font>
      <sz val="11"/>
      <color rgb="FFFF0000"/>
      <name val="Calibri"/>
      <family val="2"/>
      <charset val="128"/>
      <scheme val="minor"/>
    </font>
    <font>
      <sz val="11"/>
      <color rgb="FFFF0000"/>
      <name val="游ゴシック"/>
      <family val="3"/>
      <charset val="128"/>
    </font>
    <font>
      <sz val="11"/>
      <color theme="1"/>
      <name val="Arial"/>
      <family val="2"/>
    </font>
    <font>
      <sz val="11"/>
      <color theme="1"/>
      <name val="Calibri"/>
      <family val="3"/>
      <charset val="128"/>
      <scheme val="minor"/>
    </font>
    <font>
      <sz val="10"/>
      <color theme="1"/>
      <name val="Arial"/>
      <family val="2"/>
    </font>
    <font>
      <sz val="10"/>
      <color theme="1"/>
      <name val="游ゴシック"/>
      <family val="2"/>
      <charset val="128"/>
    </font>
    <font>
      <sz val="10.5"/>
      <color theme="1"/>
      <name val="Arial"/>
      <family val="2"/>
    </font>
    <font>
      <sz val="11"/>
      <color rgb="FFFF0000"/>
      <name val="Calibri"/>
      <family val="3"/>
      <charset val="128"/>
      <scheme val="minor"/>
    </font>
    <font>
      <sz val="10"/>
      <name val="Arial"/>
      <family val="2"/>
    </font>
    <font>
      <b/>
      <sz val="10"/>
      <name val="Arial"/>
      <family val="2"/>
    </font>
    <font>
      <u/>
      <sz val="10"/>
      <color theme="10"/>
      <name val="Arial"/>
      <family val="2"/>
    </font>
  </fonts>
  <fills count="6">
    <fill>
      <patternFill patternType="none"/>
    </fill>
    <fill>
      <patternFill patternType="gray125"/>
    </fill>
    <fill>
      <patternFill patternType="solid">
        <fgColor theme="9" tint="0.59996337778862885"/>
        <bgColor indexed="64"/>
      </patternFill>
    </fill>
    <fill>
      <patternFill patternType="solid">
        <fgColor indexed="26"/>
        <bgColor indexed="64"/>
      </patternFill>
    </fill>
    <fill>
      <patternFill patternType="solid">
        <fgColor theme="8" tint="0.79998168889431442"/>
        <bgColor indexed="64"/>
      </patternFill>
    </fill>
    <fill>
      <patternFill patternType="solid">
        <fgColor theme="7" tint="0.79998168889431442"/>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top style="thin">
        <color auto="1"/>
      </top>
      <bottom style="thin">
        <color auto="1"/>
      </bottom>
      <diagonal/>
    </border>
    <border>
      <left/>
      <right style="double">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double">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double">
        <color auto="1"/>
      </right>
      <top style="medium">
        <color auto="1"/>
      </top>
      <bottom style="thin">
        <color auto="1"/>
      </bottom>
      <diagonal/>
    </border>
    <border>
      <left style="double">
        <color auto="1"/>
      </left>
      <right/>
      <top style="medium">
        <color auto="1"/>
      </top>
      <bottom style="thin">
        <color auto="1"/>
      </bottom>
      <diagonal/>
    </border>
    <border>
      <left/>
      <right style="medium">
        <color auto="1"/>
      </right>
      <top style="medium">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2" fillId="0" borderId="0"/>
    <xf numFmtId="0" fontId="14" fillId="0" borderId="0" applyNumberFormat="0" applyFill="0" applyBorder="0" applyAlignment="0" applyProtection="0"/>
  </cellStyleXfs>
  <cellXfs count="102">
    <xf numFmtId="0" fontId="0" fillId="0" borderId="0" xfId="0">
      <alignment vertical="center"/>
    </xf>
    <xf numFmtId="0" fontId="0" fillId="0" borderId="1" xfId="0" applyBorder="1">
      <alignment vertical="center"/>
    </xf>
    <xf numFmtId="0" fontId="1" fillId="0" borderId="1" xfId="0" applyFont="1" applyBorder="1">
      <alignment vertical="center"/>
    </xf>
    <xf numFmtId="0" fontId="0" fillId="0" borderId="1" xfId="0" applyBorder="1" applyAlignment="1">
      <alignment horizontal="center" vertical="center"/>
    </xf>
    <xf numFmtId="0" fontId="5" fillId="0" borderId="1" xfId="0" applyFont="1" applyBorder="1">
      <alignment vertical="center"/>
    </xf>
    <xf numFmtId="0" fontId="4" fillId="0" borderId="0" xfId="0" applyFont="1">
      <alignment vertical="center"/>
    </xf>
    <xf numFmtId="165" fontId="0" fillId="0" borderId="1" xfId="0" applyNumberFormat="1" applyBorder="1">
      <alignment vertical="center"/>
    </xf>
    <xf numFmtId="164" fontId="0" fillId="0" borderId="1" xfId="0" applyNumberFormat="1" applyBorder="1" applyAlignment="1">
      <alignment horizontal="center" vertical="center"/>
    </xf>
    <xf numFmtId="0" fontId="6" fillId="0" borderId="1" xfId="0" applyFont="1" applyBorder="1">
      <alignment vertical="center"/>
    </xf>
    <xf numFmtId="11" fontId="0" fillId="0" borderId="1" xfId="0" applyNumberFormat="1" applyBorder="1">
      <alignment vertical="center"/>
    </xf>
    <xf numFmtId="0" fontId="0" fillId="0" borderId="5" xfId="0" applyBorder="1">
      <alignment vertical="center"/>
    </xf>
    <xf numFmtId="11" fontId="0" fillId="0" borderId="0" xfId="0" applyNumberFormat="1">
      <alignment vertical="center"/>
    </xf>
    <xf numFmtId="0" fontId="8" fillId="0" borderId="1" xfId="0" applyFont="1" applyBorder="1">
      <alignment vertical="center"/>
    </xf>
    <xf numFmtId="0" fontId="0" fillId="0" borderId="6" xfId="0"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0" fillId="0" borderId="12" xfId="0" applyBorder="1">
      <alignment vertical="center"/>
    </xf>
    <xf numFmtId="11" fontId="0" fillId="0" borderId="13" xfId="0" applyNumberFormat="1" applyBorder="1">
      <alignment vertical="center"/>
    </xf>
    <xf numFmtId="11" fontId="0" fillId="0" borderId="15" xfId="0" applyNumberFormat="1" applyBorder="1">
      <alignment vertical="center"/>
    </xf>
    <xf numFmtId="0" fontId="0" fillId="2" borderId="7" xfId="0" applyFill="1" applyBorder="1" applyAlignment="1">
      <alignment horizontal="center" vertical="center"/>
    </xf>
    <xf numFmtId="0" fontId="0" fillId="2" borderId="13" xfId="0" applyFill="1" applyBorder="1">
      <alignment vertical="center"/>
    </xf>
    <xf numFmtId="0" fontId="0" fillId="0" borderId="22" xfId="0" applyBorder="1">
      <alignment vertical="center"/>
    </xf>
    <xf numFmtId="11" fontId="0" fillId="2" borderId="1" xfId="0" applyNumberFormat="1" applyFill="1" applyBorder="1">
      <alignment vertical="center"/>
    </xf>
    <xf numFmtId="0" fontId="0" fillId="0" borderId="24" xfId="0" applyBorder="1">
      <alignment vertical="center"/>
    </xf>
    <xf numFmtId="166" fontId="0" fillId="0" borderId="22" xfId="0" applyNumberFormat="1" applyBorder="1">
      <alignment vertical="center"/>
    </xf>
    <xf numFmtId="0" fontId="11" fillId="0" borderId="0" xfId="0" applyFont="1">
      <alignment vertical="center"/>
    </xf>
    <xf numFmtId="0" fontId="13" fillId="0" borderId="0" xfId="1" applyFont="1" applyAlignment="1">
      <alignment vertical="center"/>
    </xf>
    <xf numFmtId="0" fontId="12" fillId="0" borderId="0" xfId="1"/>
    <xf numFmtId="0" fontId="13" fillId="3" borderId="1" xfId="1" applyFont="1" applyFill="1" applyBorder="1" applyAlignment="1" applyProtection="1">
      <alignment horizontal="right" vertical="center"/>
      <protection locked="0"/>
    </xf>
    <xf numFmtId="0" fontId="13" fillId="0" borderId="0" xfId="1" applyFont="1"/>
    <xf numFmtId="0" fontId="13" fillId="0" borderId="0" xfId="1" applyFont="1" applyAlignment="1">
      <alignment horizontal="right"/>
    </xf>
    <xf numFmtId="0" fontId="13" fillId="0" borderId="2" xfId="1" applyFont="1" applyBorder="1" applyAlignment="1">
      <alignment vertical="center"/>
    </xf>
    <xf numFmtId="0" fontId="12" fillId="0" borderId="3" xfId="1" applyBorder="1" applyAlignment="1">
      <alignment vertical="center"/>
    </xf>
    <xf numFmtId="0" fontId="13" fillId="0" borderId="25" xfId="1" applyFont="1" applyBorder="1" applyAlignment="1">
      <alignment vertical="center"/>
    </xf>
    <xf numFmtId="0" fontId="12" fillId="0" borderId="26" xfId="1" applyBorder="1" applyAlignment="1">
      <alignment vertical="center"/>
    </xf>
    <xf numFmtId="0" fontId="12" fillId="0" borderId="5" xfId="1" applyBorder="1" applyAlignment="1">
      <alignment vertical="center"/>
    </xf>
    <xf numFmtId="0" fontId="12" fillId="0" borderId="27" xfId="1" applyBorder="1"/>
    <xf numFmtId="0" fontId="12" fillId="0" borderId="28" xfId="1" applyBorder="1" applyAlignment="1">
      <alignment vertical="center"/>
    </xf>
    <xf numFmtId="0" fontId="12" fillId="0" borderId="29" xfId="1" applyBorder="1"/>
    <xf numFmtId="0" fontId="12" fillId="3" borderId="23" xfId="1" applyFill="1" applyBorder="1" applyAlignment="1" applyProtection="1">
      <alignment horizontal="center" vertical="center"/>
      <protection locked="0"/>
    </xf>
    <xf numFmtId="0" fontId="12" fillId="3" borderId="1" xfId="1" applyFill="1" applyBorder="1" applyAlignment="1" applyProtection="1">
      <alignment horizontal="center" vertical="center"/>
      <protection locked="0"/>
    </xf>
    <xf numFmtId="0" fontId="12" fillId="0" borderId="23" xfId="1" applyBorder="1" applyAlignment="1">
      <alignment vertical="center"/>
    </xf>
    <xf numFmtId="0" fontId="0" fillId="4" borderId="1" xfId="0" applyFill="1" applyBorder="1">
      <alignment vertical="center"/>
    </xf>
    <xf numFmtId="165" fontId="0" fillId="4" borderId="1" xfId="0" applyNumberFormat="1" applyFill="1" applyBorder="1">
      <alignment vertical="center"/>
    </xf>
    <xf numFmtId="0" fontId="0" fillId="4" borderId="1" xfId="0" applyFill="1" applyBorder="1" applyAlignment="1">
      <alignment horizontal="center" vertical="center"/>
    </xf>
    <xf numFmtId="11" fontId="0" fillId="4" borderId="1" xfId="0" applyNumberFormat="1" applyFill="1" applyBorder="1">
      <alignment vertical="center"/>
    </xf>
    <xf numFmtId="164" fontId="0" fillId="4" borderId="1" xfId="0" applyNumberFormat="1" applyFill="1" applyBorder="1">
      <alignment vertical="center"/>
    </xf>
    <xf numFmtId="11" fontId="0" fillId="4" borderId="23" xfId="0" applyNumberFormat="1" applyFill="1" applyBorder="1">
      <alignment vertical="center"/>
    </xf>
    <xf numFmtId="166" fontId="0" fillId="4" borderId="23" xfId="0" applyNumberFormat="1" applyFill="1" applyBorder="1">
      <alignment vertical="center"/>
    </xf>
    <xf numFmtId="166" fontId="0" fillId="4" borderId="1" xfId="0" applyNumberFormat="1" applyFill="1" applyBorder="1">
      <alignment vertical="center"/>
    </xf>
    <xf numFmtId="166" fontId="0" fillId="4" borderId="1" xfId="0" applyNumberFormat="1" applyFill="1" applyBorder="1" applyAlignment="1">
      <alignment horizontal="center" vertical="center"/>
    </xf>
    <xf numFmtId="11" fontId="0" fillId="4"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15" fontId="12" fillId="0" borderId="0" xfId="1" applyNumberFormat="1"/>
    <xf numFmtId="0" fontId="0" fillId="4" borderId="0" xfId="0" applyFill="1">
      <alignment vertical="center"/>
    </xf>
    <xf numFmtId="0" fontId="0" fillId="5" borderId="0" xfId="0" applyFill="1">
      <alignment vertical="center"/>
    </xf>
    <xf numFmtId="0" fontId="0" fillId="5" borderId="1" xfId="0" applyFill="1" applyBorder="1" applyAlignment="1">
      <alignment horizontal="center" vertical="center"/>
    </xf>
    <xf numFmtId="11" fontId="10" fillId="0" borderId="6" xfId="0" applyNumberFormat="1" applyFont="1" applyBorder="1" applyAlignment="1">
      <alignment horizontal="center" vertical="center"/>
    </xf>
    <xf numFmtId="11" fontId="10" fillId="0" borderId="12" xfId="0" applyNumberFormat="1" applyFont="1" applyBorder="1" applyAlignment="1">
      <alignment horizontal="center" vertical="center"/>
    </xf>
    <xf numFmtId="11" fontId="10" fillId="0" borderId="10" xfId="0" applyNumberFormat="1" applyFont="1" applyBorder="1" applyAlignment="1">
      <alignment horizontal="center" vertical="center"/>
    </xf>
    <xf numFmtId="11" fontId="10" fillId="0" borderId="14" xfId="0" applyNumberFormat="1" applyFont="1" applyBorder="1" applyAlignment="1">
      <alignment horizontal="center" vertical="center"/>
    </xf>
    <xf numFmtId="0" fontId="0" fillId="0" borderId="0" xfId="0" applyAlignment="1">
      <alignment horizontal="center" vertical="center"/>
    </xf>
    <xf numFmtId="166" fontId="0" fillId="0" borderId="0" xfId="0" applyNumberFormat="1">
      <alignment vertical="center"/>
    </xf>
    <xf numFmtId="167" fontId="0" fillId="0" borderId="1" xfId="0" applyNumberFormat="1" applyBorder="1" applyAlignment="1">
      <alignment horizontal="center" vertical="center"/>
    </xf>
    <xf numFmtId="0" fontId="13" fillId="0" borderId="0" xfId="1" applyFont="1" applyAlignment="1">
      <alignment horizontal="center"/>
    </xf>
    <xf numFmtId="0" fontId="12" fillId="3" borderId="1" xfId="1" applyFill="1" applyBorder="1" applyAlignment="1" applyProtection="1">
      <alignment horizontal="left" vertical="center" wrapText="1"/>
      <protection locked="0"/>
    </xf>
    <xf numFmtId="0" fontId="12" fillId="0" borderId="1" xfId="1" applyBorder="1" applyAlignment="1">
      <alignment horizontal="right" vertical="center"/>
    </xf>
    <xf numFmtId="0" fontId="12" fillId="0" borderId="1" xfId="1" applyBorder="1" applyAlignment="1">
      <alignment horizontal="right"/>
    </xf>
    <xf numFmtId="0" fontId="12" fillId="3" borderId="1" xfId="1" quotePrefix="1" applyFill="1" applyBorder="1" applyAlignment="1" applyProtection="1">
      <alignment horizontal="left" vertical="center" wrapText="1"/>
      <protection locked="0"/>
    </xf>
    <xf numFmtId="0" fontId="14" fillId="3" borderId="1" xfId="2" applyFill="1" applyBorder="1" applyAlignment="1" applyProtection="1">
      <alignment horizontal="left" vertical="center" wrapText="1"/>
      <protection locked="0"/>
    </xf>
    <xf numFmtId="0" fontId="12" fillId="3" borderId="2" xfId="1" applyFill="1" applyBorder="1" applyAlignment="1" applyProtection="1">
      <alignment horizontal="left" vertical="top" wrapText="1"/>
      <protection locked="0"/>
    </xf>
    <xf numFmtId="0" fontId="12" fillId="3" borderId="4" xfId="1" applyFill="1" applyBorder="1" applyAlignment="1" applyProtection="1">
      <alignment horizontal="left" vertical="top" wrapText="1"/>
      <protection locked="0"/>
    </xf>
    <xf numFmtId="0" fontId="12" fillId="3" borderId="3" xfId="1" applyFill="1" applyBorder="1" applyAlignment="1" applyProtection="1">
      <alignment horizontal="left" vertical="top" wrapText="1"/>
      <protection locked="0"/>
    </xf>
    <xf numFmtId="0" fontId="12" fillId="3" borderId="2" xfId="1" applyFill="1" applyBorder="1" applyAlignment="1" applyProtection="1">
      <alignment horizontal="left" vertical="center" wrapText="1"/>
      <protection locked="0"/>
    </xf>
    <xf numFmtId="0" fontId="12" fillId="3" borderId="4" xfId="1" applyFill="1" applyBorder="1" applyAlignment="1" applyProtection="1">
      <alignment horizontal="left" vertical="center" wrapText="1"/>
      <protection locked="0"/>
    </xf>
    <xf numFmtId="0" fontId="12" fillId="3" borderId="3" xfId="1" applyFill="1" applyBorder="1" applyAlignment="1" applyProtection="1">
      <alignment horizontal="left" vertical="center" wrapText="1"/>
      <protection locked="0"/>
    </xf>
    <xf numFmtId="0" fontId="13" fillId="0" borderId="25" xfId="1" applyFont="1" applyBorder="1" applyAlignment="1">
      <alignment horizontal="left" vertical="center" wrapText="1"/>
    </xf>
    <xf numFmtId="0" fontId="13" fillId="0" borderId="26" xfId="1" applyFont="1" applyBorder="1" applyAlignment="1">
      <alignment horizontal="left" vertical="center" wrapText="1"/>
    </xf>
    <xf numFmtId="0" fontId="13" fillId="0" borderId="5"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3" fillId="0" borderId="29" xfId="1" applyFont="1" applyBorder="1" applyAlignment="1">
      <alignment horizontal="left" vertical="center" wrapText="1"/>
    </xf>
    <xf numFmtId="0" fontId="12" fillId="0" borderId="1" xfId="1" applyBorder="1" applyAlignment="1">
      <alignment horizontal="left" vertical="center"/>
    </xf>
    <xf numFmtId="0" fontId="12" fillId="3" borderId="2" xfId="1" applyFill="1" applyBorder="1" applyAlignment="1" applyProtection="1">
      <alignment horizontal="center" vertical="center" wrapText="1"/>
      <protection locked="0"/>
    </xf>
    <xf numFmtId="0" fontId="12" fillId="3" borderId="3" xfId="1" applyFill="1" applyBorder="1" applyAlignment="1" applyProtection="1">
      <alignment horizontal="center" vertical="center" wrapText="1"/>
      <protection locked="0"/>
    </xf>
    <xf numFmtId="0" fontId="0" fillId="0" borderId="2" xfId="0" applyBorder="1">
      <alignment vertical="center"/>
    </xf>
    <xf numFmtId="0" fontId="0" fillId="0" borderId="4" xfId="0" applyBorder="1">
      <alignment vertical="center"/>
    </xf>
    <xf numFmtId="0" fontId="0" fillId="0" borderId="3"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0" xfId="0" applyFont="1" applyBorder="1" applyAlignment="1">
      <alignment horizontal="center" vertical="center"/>
    </xf>
    <xf numFmtId="0" fontId="0" fillId="0" borderId="21" xfId="0" applyBorder="1" applyAlignment="1">
      <alignment horizontal="center" vertical="center"/>
    </xf>
    <xf numFmtId="166" fontId="0" fillId="0" borderId="1" xfId="0" applyNumberFormat="1" applyBorder="1" applyAlignment="1">
      <alignment horizontal="center" vertical="center"/>
    </xf>
    <xf numFmtId="0" fontId="0" fillId="0" borderId="1" xfId="0" applyBorder="1">
      <alignment vertical="center"/>
    </xf>
    <xf numFmtId="166" fontId="0" fillId="4" borderId="1" xfId="0" applyNumberFormat="1" applyFill="1" applyBorder="1" applyAlignment="1">
      <alignment horizontal="center" vertical="center"/>
    </xf>
  </cellXfs>
  <cellStyles count="3">
    <cellStyle name="Normal" xfId="0" builtinId="0"/>
    <cellStyle name="ハイパーリンク 2" xfId="2" xr:uid="{E29C6CA5-98D1-4A86-BCE3-2F1EA1E04210}"/>
    <cellStyle name="標準 2" xfId="1" xr:uid="{D8CEC5E6-0B13-4573-BED8-3A345E4289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05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ltLang="ja-JP" sz="1050">
                <a:solidFill>
                  <a:sysClr val="windowText" lastClr="000000"/>
                </a:solidFill>
                <a:latin typeface="Arial" panose="020B0604020202020204" pitchFamily="34" charset="0"/>
                <a:cs typeface="Arial" panose="020B0604020202020204" pitchFamily="34" charset="0"/>
              </a:rPr>
              <a:t>Y = A*X + B Graph of</a:t>
            </a:r>
            <a:r>
              <a:rPr lang="en-US" altLang="ja-JP" sz="1050" baseline="0">
                <a:solidFill>
                  <a:sysClr val="windowText" lastClr="000000"/>
                </a:solidFill>
                <a:latin typeface="Arial" panose="020B0604020202020204" pitchFamily="34" charset="0"/>
                <a:cs typeface="Arial" panose="020B0604020202020204" pitchFamily="34" charset="0"/>
              </a:rPr>
              <a:t> Inital &amp; Aged Data, Y=</a:t>
            </a:r>
            <a:r>
              <a:rPr lang="el-GR" altLang="ja-JP" sz="1050" baseline="0">
                <a:solidFill>
                  <a:sysClr val="windowText" lastClr="000000"/>
                </a:solidFill>
                <a:latin typeface="Arial" panose="020B0604020202020204" pitchFamily="34" charset="0"/>
                <a:cs typeface="Arial" panose="020B0604020202020204" pitchFamily="34" charset="0"/>
              </a:rPr>
              <a:t>α</a:t>
            </a:r>
            <a:r>
              <a:rPr lang="en-US" altLang="ja-JP" sz="1050" baseline="0">
                <a:solidFill>
                  <a:sysClr val="windowText" lastClr="000000"/>
                </a:solidFill>
                <a:latin typeface="Arial" panose="020B0604020202020204" pitchFamily="34" charset="0"/>
                <a:cs typeface="Arial" panose="020B0604020202020204" pitchFamily="34" charset="0"/>
              </a:rPr>
              <a:t>/Sqrt(f), X=Sqrt(f)</a:t>
            </a:r>
            <a:endParaRPr lang="ja-JP" altLang="en-US" sz="105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lang="ja-JP" sz="105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596180677723451"/>
          <c:y val="7.6585182932143545E-2"/>
          <c:w val="0.85880526875588936"/>
          <c:h val="0.80754418805816675"/>
        </c:manualLayout>
      </c:layout>
      <c:scatterChart>
        <c:scatterStyle val="lineMarker"/>
        <c:varyColors val="0"/>
        <c:ser>
          <c:idx val="0"/>
          <c:order val="0"/>
          <c:tx>
            <c:strRef>
              <c:f>'Formula &amp; Calculated Result'!$B$23</c:f>
              <c:strCache>
                <c:ptCount val="1"/>
                <c:pt idx="0">
                  <c:v>(A): αi/sqrt(f)</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22330029239411328"/>
                  <c:y val="4.1247901257217515E-2"/>
                </c:manualLayout>
              </c:layout>
              <c:numFmt formatCode="General" sourceLinked="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'Formula &amp; Calculated Result'!$A$24:$A$25</c:f>
              <c:numCache>
                <c:formatCode>General</c:formatCode>
                <c:ptCount val="2"/>
                <c:pt idx="0">
                  <c:v>10</c:v>
                </c:pt>
                <c:pt idx="1">
                  <c:v>20</c:v>
                </c:pt>
              </c:numCache>
            </c:numRef>
          </c:xVal>
          <c:yVal>
            <c:numRef>
              <c:f>'Formula &amp; Calculated Result'!$B$24:$B$25</c:f>
              <c:numCache>
                <c:formatCode>0.00_ </c:formatCode>
                <c:ptCount val="2"/>
                <c:pt idx="0">
                  <c:v>1.9419</c:v>
                </c:pt>
                <c:pt idx="1">
                  <c:v>2.0038999999999998</c:v>
                </c:pt>
              </c:numCache>
            </c:numRef>
          </c:yVal>
          <c:smooth val="0"/>
          <c:extLst>
            <c:ext xmlns:c16="http://schemas.microsoft.com/office/drawing/2014/chart" uri="{C3380CC4-5D6E-409C-BE32-E72D297353CC}">
              <c16:uniqueId val="{00000001-4D86-4486-8E44-D72B5234F02C}"/>
            </c:ext>
          </c:extLst>
        </c:ser>
        <c:ser>
          <c:idx val="1"/>
          <c:order val="1"/>
          <c:tx>
            <c:strRef>
              <c:f>'Formula &amp; Calculated Result'!$C$23</c:f>
              <c:strCache>
                <c:ptCount val="1"/>
                <c:pt idx="0">
                  <c:v>(A): αa/sqrt(f)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3940712341619855"/>
                  <c:y val="2.5527446239972894E-2"/>
                </c:manualLayout>
              </c:layout>
              <c:numFmt formatCode="General" sourceLinked="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'Formula &amp; Calculated Result'!$A$24:$A$25</c:f>
              <c:numCache>
                <c:formatCode>General</c:formatCode>
                <c:ptCount val="2"/>
                <c:pt idx="0">
                  <c:v>10</c:v>
                </c:pt>
                <c:pt idx="1">
                  <c:v>20</c:v>
                </c:pt>
              </c:numCache>
            </c:numRef>
          </c:xVal>
          <c:yVal>
            <c:numRef>
              <c:f>'Formula &amp; Calculated Result'!$C$24:$C$25</c:f>
              <c:numCache>
                <c:formatCode>0.00_ </c:formatCode>
                <c:ptCount val="2"/>
                <c:pt idx="0">
                  <c:v>2.0036999999999998</c:v>
                </c:pt>
                <c:pt idx="1">
                  <c:v>2.0737000000000001</c:v>
                </c:pt>
              </c:numCache>
            </c:numRef>
          </c:yVal>
          <c:smooth val="0"/>
          <c:extLst>
            <c:ext xmlns:c16="http://schemas.microsoft.com/office/drawing/2014/chart" uri="{C3380CC4-5D6E-409C-BE32-E72D297353CC}">
              <c16:uniqueId val="{00000003-4D86-4486-8E44-D72B5234F02C}"/>
            </c:ext>
          </c:extLst>
        </c:ser>
        <c:ser>
          <c:idx val="2"/>
          <c:order val="2"/>
          <c:tx>
            <c:strRef>
              <c:f>'Formula &amp; Calculated Result'!$D$23</c:f>
              <c:strCache>
                <c:ptCount val="1"/>
                <c:pt idx="0">
                  <c:v>(B): αi/sqrt(f)</c:v>
                </c:pt>
              </c:strCache>
            </c:strRef>
          </c:tx>
          <c:spPr>
            <a:ln w="25400" cap="rnd">
              <a:noFill/>
              <a:round/>
            </a:ln>
            <a:effectLst/>
          </c:spPr>
          <c:marker>
            <c:symbol val="circle"/>
            <c:size val="5"/>
            <c:spPr>
              <a:solidFill>
                <a:schemeClr val="accent3"/>
              </a:solidFill>
              <a:ln w="9525">
                <a:solidFill>
                  <a:schemeClr val="accent3"/>
                </a:solidFill>
              </a:ln>
              <a:effectLst/>
            </c:spPr>
          </c:marker>
          <c:xVal>
            <c:numRef>
              <c:f>'Formula &amp; Calculated Result'!$A$24:$A$25</c:f>
              <c:numCache>
                <c:formatCode>General</c:formatCode>
                <c:ptCount val="2"/>
                <c:pt idx="0">
                  <c:v>10</c:v>
                </c:pt>
                <c:pt idx="1">
                  <c:v>20</c:v>
                </c:pt>
              </c:numCache>
            </c:numRef>
          </c:xVal>
          <c:yVal>
            <c:numRef>
              <c:f>'Formula &amp; Calculated Result'!$D$24:$D$25</c:f>
              <c:numCache>
                <c:formatCode>0.00_ </c:formatCode>
                <c:ptCount val="2"/>
                <c:pt idx="0">
                  <c:v>2.1323000000000003</c:v>
                </c:pt>
                <c:pt idx="1">
                  <c:v>2.2033</c:v>
                </c:pt>
              </c:numCache>
            </c:numRef>
          </c:yVal>
          <c:smooth val="0"/>
          <c:extLst>
            <c:ext xmlns:c16="http://schemas.microsoft.com/office/drawing/2014/chart" uri="{C3380CC4-5D6E-409C-BE32-E72D297353CC}">
              <c16:uniqueId val="{00000004-4D86-4486-8E44-D72B5234F02C}"/>
            </c:ext>
          </c:extLst>
        </c:ser>
        <c:ser>
          <c:idx val="3"/>
          <c:order val="3"/>
          <c:tx>
            <c:strRef>
              <c:f>'Formula &amp; Calculated Result'!$E$23</c:f>
              <c:strCache>
                <c:ptCount val="1"/>
                <c:pt idx="0">
                  <c:v>(B): αa/sqrt(f)</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2.4019347350456386E-2"/>
                  <c:y val="1.3728621191277289E-2"/>
                </c:manualLayout>
              </c:layout>
              <c:numFmt formatCode="General" sourceLinked="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'Formula &amp; Calculated Result'!$A$24:$A$25</c:f>
              <c:numCache>
                <c:formatCode>General</c:formatCode>
                <c:ptCount val="2"/>
                <c:pt idx="0">
                  <c:v>10</c:v>
                </c:pt>
                <c:pt idx="1">
                  <c:v>20</c:v>
                </c:pt>
              </c:numCache>
            </c:numRef>
          </c:xVal>
          <c:yVal>
            <c:numRef>
              <c:f>'Formula &amp; Calculated Result'!$E$24:$E$25</c:f>
              <c:numCache>
                <c:formatCode>0.00_ </c:formatCode>
                <c:ptCount val="2"/>
                <c:pt idx="0">
                  <c:v>2.5987</c:v>
                </c:pt>
                <c:pt idx="1">
                  <c:v>2.6997</c:v>
                </c:pt>
              </c:numCache>
            </c:numRef>
          </c:yVal>
          <c:smooth val="0"/>
          <c:extLst>
            <c:ext xmlns:c16="http://schemas.microsoft.com/office/drawing/2014/chart" uri="{C3380CC4-5D6E-409C-BE32-E72D297353CC}">
              <c16:uniqueId val="{00000006-4D86-4486-8E44-D72B5234F02C}"/>
            </c:ext>
          </c:extLst>
        </c:ser>
        <c:ser>
          <c:idx val="4"/>
          <c:order val="4"/>
          <c:tx>
            <c:strRef>
              <c:f>'Formula &amp; Calculated Result'!$F$23</c:f>
              <c:strCache>
                <c:ptCount val="1"/>
                <c:pt idx="0">
                  <c:v>(C): αi/sqrt(f)*1</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1.7856019153229884E-2"/>
                  <c:y val="1.699408335478576E-2"/>
                </c:manualLayout>
              </c:layout>
              <c:numFmt formatCode="General" sourceLinked="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'Formula &amp; Calculated Result'!$A$24:$A$25</c:f>
              <c:numCache>
                <c:formatCode>General</c:formatCode>
                <c:ptCount val="2"/>
                <c:pt idx="0">
                  <c:v>10</c:v>
                </c:pt>
                <c:pt idx="1">
                  <c:v>20</c:v>
                </c:pt>
              </c:numCache>
            </c:numRef>
          </c:xVal>
          <c:yVal>
            <c:numRef>
              <c:f>'Formula &amp; Calculated Result'!$F$24:$F$25</c:f>
              <c:numCache>
                <c:formatCode>0.00_ </c:formatCode>
                <c:ptCount val="2"/>
                <c:pt idx="0">
                  <c:v>2.1323000000000003</c:v>
                </c:pt>
                <c:pt idx="1">
                  <c:v>2.2033</c:v>
                </c:pt>
              </c:numCache>
            </c:numRef>
          </c:yVal>
          <c:smooth val="0"/>
          <c:extLst>
            <c:ext xmlns:c16="http://schemas.microsoft.com/office/drawing/2014/chart" uri="{C3380CC4-5D6E-409C-BE32-E72D297353CC}">
              <c16:uniqueId val="{00000008-4D86-4486-8E44-D72B5234F02C}"/>
            </c:ext>
          </c:extLst>
        </c:ser>
        <c:ser>
          <c:idx val="5"/>
          <c:order val="5"/>
          <c:tx>
            <c:strRef>
              <c:f>'Formula &amp; Calculated Result'!$G$23</c:f>
              <c:strCache>
                <c:ptCount val="1"/>
                <c:pt idx="0">
                  <c:v>(C): αa/sqrt(f)</c:v>
                </c:pt>
              </c:strCache>
            </c:strRef>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1"/>
            <c:trendlineLbl>
              <c:layout>
                <c:manualLayout>
                  <c:x val="-2.3690636513270972E-2"/>
                  <c:y val="1.2538240001527081E-2"/>
                </c:manualLayout>
              </c:layout>
              <c:numFmt formatCode="General" sourceLinked="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'Formula &amp; Calculated Result'!$A$24:$A$25</c:f>
              <c:numCache>
                <c:formatCode>General</c:formatCode>
                <c:ptCount val="2"/>
                <c:pt idx="0">
                  <c:v>10</c:v>
                </c:pt>
                <c:pt idx="1">
                  <c:v>20</c:v>
                </c:pt>
              </c:numCache>
            </c:numRef>
          </c:xVal>
          <c:yVal>
            <c:numRef>
              <c:f>'Formula &amp; Calculated Result'!$G$24:$G$25</c:f>
              <c:numCache>
                <c:formatCode>0.00_ </c:formatCode>
                <c:ptCount val="2"/>
                <c:pt idx="0">
                  <c:v>2.38</c:v>
                </c:pt>
                <c:pt idx="1">
                  <c:v>2.4750000000000001</c:v>
                </c:pt>
              </c:numCache>
            </c:numRef>
          </c:yVal>
          <c:smooth val="0"/>
          <c:extLst>
            <c:ext xmlns:c16="http://schemas.microsoft.com/office/drawing/2014/chart" uri="{C3380CC4-5D6E-409C-BE32-E72D297353CC}">
              <c16:uniqueId val="{0000000A-4D86-4486-8E44-D72B5234F02C}"/>
            </c:ext>
          </c:extLst>
        </c:ser>
        <c:dLbls>
          <c:showLegendKey val="0"/>
          <c:showVal val="0"/>
          <c:showCatName val="0"/>
          <c:showSerName val="0"/>
          <c:showPercent val="0"/>
          <c:showBubbleSize val="0"/>
        </c:dLbls>
        <c:axId val="472882000"/>
        <c:axId val="472878480"/>
      </c:scatterChart>
      <c:valAx>
        <c:axId val="472882000"/>
        <c:scaling>
          <c:orientation val="minMax"/>
          <c:min val="5"/>
        </c:scaling>
        <c:delete val="0"/>
        <c:axPos val="b"/>
        <c:majorGridlines>
          <c:spPr>
            <a:ln w="9525" cap="flat" cmpd="sng" algn="ctr">
              <a:solidFill>
                <a:schemeClr val="bg1">
                  <a:lumMod val="65000"/>
                </a:schemeClr>
              </a:solid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ja-JP" sz="1050">
                    <a:solidFill>
                      <a:sysClr val="windowText" lastClr="000000"/>
                    </a:solidFill>
                    <a:latin typeface="Arial" panose="020B0604020202020204" pitchFamily="34" charset="0"/>
                    <a:cs typeface="Arial" panose="020B0604020202020204" pitchFamily="34" charset="0"/>
                  </a:rPr>
                  <a:t>Sqrt (f) (√MHz)</a:t>
                </a:r>
                <a:endParaRPr lang="ja-JP" altLang="en-US" sz="105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0541580222348939"/>
              <c:y val="0.9378026796791602"/>
            </c:manualLayout>
          </c:layout>
          <c:overlay val="0"/>
          <c:spPr>
            <a:no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2878480"/>
        <c:crosses val="autoZero"/>
        <c:crossBetween val="midCat"/>
      </c:valAx>
      <c:valAx>
        <c:axId val="472878480"/>
        <c:scaling>
          <c:orientation val="minMax"/>
          <c:min val="1.6"/>
        </c:scaling>
        <c:delete val="0"/>
        <c:axPos val="l"/>
        <c:majorGridlines>
          <c:spPr>
            <a:ln w="6350" cap="flat" cmpd="sng" algn="ctr">
              <a:solidFill>
                <a:schemeClr val="bg1">
                  <a:lumMod val="65000"/>
                </a:schemeClr>
              </a:solidFill>
              <a:round/>
            </a:ln>
            <a:effectLst/>
          </c:spPr>
        </c:majorGridlines>
        <c:title>
          <c:tx>
            <c:rich>
              <a:bodyPr rot="-5400000" spcFirstLastPara="1" vertOverflow="ellipsis" vert="horz" wrap="square" anchor="ctr" anchorCtr="1"/>
              <a:lstStyle/>
              <a:p>
                <a:pPr>
                  <a:defRPr lang="ja-JP" sz="1200" b="0" i="0" u="none" strike="noStrike" kern="1200" baseline="0">
                    <a:solidFill>
                      <a:sysClr val="windowText" lastClr="000000"/>
                    </a:solidFill>
                    <a:latin typeface="+mn-lt"/>
                    <a:ea typeface="+mn-ea"/>
                    <a:cs typeface="+mn-cs"/>
                  </a:defRPr>
                </a:pPr>
                <a:r>
                  <a:rPr lang="el-GR" altLang="ja-JP" sz="1200">
                    <a:solidFill>
                      <a:sysClr val="windowText" lastClr="000000"/>
                    </a:solidFill>
                    <a:latin typeface="Arial" panose="020B0604020202020204" pitchFamily="34" charset="0"/>
                    <a:cs typeface="Arial" panose="020B0604020202020204" pitchFamily="34" charset="0"/>
                  </a:rPr>
                  <a:t>α</a:t>
                </a:r>
                <a:r>
                  <a:rPr lang="en-US" altLang="ja-JP" sz="1200">
                    <a:solidFill>
                      <a:sysClr val="windowText" lastClr="000000"/>
                    </a:solidFill>
                    <a:latin typeface="Arial" panose="020B0604020202020204" pitchFamily="34" charset="0"/>
                    <a:cs typeface="Arial" panose="020B0604020202020204" pitchFamily="34" charset="0"/>
                  </a:rPr>
                  <a:t>/Sqrt(f) (dB/100m/√MHz)</a:t>
                </a:r>
                <a:endParaRPr lang="ja-JP" altLang="en-US" sz="1200">
                  <a:solidFill>
                    <a:sysClr val="windowText" lastClr="000000"/>
                  </a:solidFill>
                </a:endParaRPr>
              </a:p>
            </c:rich>
          </c:tx>
          <c:layout>
            <c:manualLayout>
              <c:xMode val="edge"/>
              <c:yMode val="edge"/>
              <c:x val="1.1814986917082203E-2"/>
              <c:y val="0.32714087670911829"/>
            </c:manualLayout>
          </c:layout>
          <c:overlay val="0"/>
          <c:spPr>
            <a:noFill/>
            <a:ln>
              <a:noFill/>
            </a:ln>
            <a:effectLst/>
          </c:spPr>
          <c:txPr>
            <a:bodyPr rot="-5400000" spcFirstLastPara="1" vertOverflow="ellipsis" vert="horz" wrap="square" anchor="ctr" anchorCtr="1"/>
            <a:lstStyle/>
            <a:p>
              <a:pPr>
                <a:defRPr lang="ja-JP" sz="1200" b="0" i="0" u="none" strike="noStrike" kern="1200" baseline="0">
                  <a:solidFill>
                    <a:sysClr val="windowText" lastClr="000000"/>
                  </a:solidFill>
                  <a:latin typeface="+mn-lt"/>
                  <a:ea typeface="+mn-ea"/>
                  <a:cs typeface="+mn-cs"/>
                </a:defRPr>
              </a:pPr>
              <a:endParaRPr lang="en-US"/>
            </a:p>
          </c:txPr>
        </c:title>
        <c:numFmt formatCode="0.0_ " sourceLinked="0"/>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2882000"/>
        <c:crosses val="autoZero"/>
        <c:crossBetween val="midCat"/>
        <c:majorUnit val="0.1"/>
        <c:minorUnit val="1.0000000000000002E-2"/>
      </c:valAx>
      <c:spPr>
        <a:noFill/>
        <a:ln w="15875">
          <a:solidFill>
            <a:schemeClr val="tx1"/>
          </a:solidFill>
        </a:ln>
        <a:effectLst/>
      </c:spPr>
    </c:plotArea>
    <c:legend>
      <c:legendPos val="r"/>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0.1499521162005287"/>
          <c:y val="0.25207554493079215"/>
          <c:w val="0.18577070339325863"/>
          <c:h val="0.37271762965146754"/>
        </c:manualLayout>
      </c:layout>
      <c:overlay val="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sz="1050"/>
              <a:t>Frequency Response of Initial &amp; Aged Data</a:t>
            </a:r>
            <a:endParaRPr lang="ja-JP" sz="1050"/>
          </a:p>
        </c:rich>
      </c:tx>
      <c:overlay val="0"/>
      <c:spPr>
        <a:noFill/>
        <a:ln>
          <a:noFill/>
        </a:ln>
        <a:effectLst/>
      </c:spPr>
      <c:txPr>
        <a:bodyPr rot="0" spcFirstLastPara="1" vertOverflow="ellipsis" vert="horz" wrap="square" anchor="ctr" anchorCtr="1"/>
        <a:lstStyle/>
        <a:p>
          <a:pPr>
            <a:defRPr lang="ja-JP"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154199475065616"/>
          <c:y val="8.3591078311863742E-2"/>
          <c:w val="0.83398578302712156"/>
          <c:h val="0.78404582115162713"/>
        </c:manualLayout>
      </c:layout>
      <c:scatterChart>
        <c:scatterStyle val="lineMarker"/>
        <c:varyColors val="0"/>
        <c:ser>
          <c:idx val="0"/>
          <c:order val="0"/>
          <c:tx>
            <c:strRef>
              <c:f>'Formula &amp; Calculated Result'!$B$19</c:f>
              <c:strCache>
                <c:ptCount val="1"/>
                <c:pt idx="0">
                  <c:v>(A): αi</c:v>
                </c:pt>
              </c:strCache>
            </c:strRef>
          </c:tx>
          <c:spPr>
            <a:ln w="19050" cap="rnd">
              <a:solidFill>
                <a:schemeClr val="accent1"/>
              </a:solidFill>
              <a:round/>
            </a:ln>
            <a:effectLst/>
          </c:spPr>
          <c:marker>
            <c:symbol val="none"/>
          </c:marker>
          <c:xVal>
            <c:numRef>
              <c:f>'Formula &amp; Calculated Result'!$A$20:$A$21</c:f>
              <c:numCache>
                <c:formatCode>General</c:formatCode>
                <c:ptCount val="2"/>
                <c:pt idx="0">
                  <c:v>100</c:v>
                </c:pt>
                <c:pt idx="1">
                  <c:v>400</c:v>
                </c:pt>
              </c:numCache>
            </c:numRef>
          </c:xVal>
          <c:yVal>
            <c:numRef>
              <c:f>'Formula &amp; Calculated Result'!$B$20:$B$21</c:f>
              <c:numCache>
                <c:formatCode>0.00_ </c:formatCode>
                <c:ptCount val="2"/>
                <c:pt idx="0">
                  <c:v>19.399999999999999</c:v>
                </c:pt>
                <c:pt idx="1">
                  <c:v>40</c:v>
                </c:pt>
              </c:numCache>
            </c:numRef>
          </c:yVal>
          <c:smooth val="0"/>
          <c:extLst>
            <c:ext xmlns:c16="http://schemas.microsoft.com/office/drawing/2014/chart" uri="{C3380CC4-5D6E-409C-BE32-E72D297353CC}">
              <c16:uniqueId val="{00000000-E692-45C8-9299-7F885E02CD67}"/>
            </c:ext>
          </c:extLst>
        </c:ser>
        <c:ser>
          <c:idx val="1"/>
          <c:order val="1"/>
          <c:tx>
            <c:strRef>
              <c:f>'Formula &amp; Calculated Result'!$C$19</c:f>
              <c:strCache>
                <c:ptCount val="1"/>
                <c:pt idx="0">
                  <c:v>(A): αa</c:v>
                </c:pt>
              </c:strCache>
            </c:strRef>
          </c:tx>
          <c:spPr>
            <a:ln w="19050" cap="rnd">
              <a:solidFill>
                <a:schemeClr val="accent2"/>
              </a:solidFill>
              <a:round/>
            </a:ln>
            <a:effectLst/>
          </c:spPr>
          <c:marker>
            <c:symbol val="none"/>
          </c:marker>
          <c:xVal>
            <c:numRef>
              <c:f>'Formula &amp; Calculated Result'!$A$20:$A$21</c:f>
              <c:numCache>
                <c:formatCode>General</c:formatCode>
                <c:ptCount val="2"/>
                <c:pt idx="0">
                  <c:v>100</c:v>
                </c:pt>
                <c:pt idx="1">
                  <c:v>400</c:v>
                </c:pt>
              </c:numCache>
            </c:numRef>
          </c:xVal>
          <c:yVal>
            <c:numRef>
              <c:f>'Formula &amp; Calculated Result'!$C$20:$C$21</c:f>
              <c:numCache>
                <c:formatCode>0.00_ </c:formatCode>
                <c:ptCount val="2"/>
                <c:pt idx="0">
                  <c:v>20</c:v>
                </c:pt>
                <c:pt idx="1">
                  <c:v>41.473999999999997</c:v>
                </c:pt>
              </c:numCache>
            </c:numRef>
          </c:yVal>
          <c:smooth val="0"/>
          <c:extLst>
            <c:ext xmlns:c16="http://schemas.microsoft.com/office/drawing/2014/chart" uri="{C3380CC4-5D6E-409C-BE32-E72D297353CC}">
              <c16:uniqueId val="{00000001-E692-45C8-9299-7F885E02CD67}"/>
            </c:ext>
          </c:extLst>
        </c:ser>
        <c:ser>
          <c:idx val="2"/>
          <c:order val="2"/>
          <c:tx>
            <c:strRef>
              <c:f>'Formula &amp; Calculated Result'!$D$19</c:f>
              <c:strCache>
                <c:ptCount val="1"/>
                <c:pt idx="0">
                  <c:v>(B): αi</c:v>
                </c:pt>
              </c:strCache>
            </c:strRef>
          </c:tx>
          <c:spPr>
            <a:ln w="19050" cap="rnd">
              <a:solidFill>
                <a:schemeClr val="accent3"/>
              </a:solidFill>
              <a:round/>
            </a:ln>
            <a:effectLst/>
          </c:spPr>
          <c:marker>
            <c:symbol val="none"/>
          </c:marker>
          <c:xVal>
            <c:numRef>
              <c:f>'Formula &amp; Calculated Result'!$A$20:$A$21</c:f>
              <c:numCache>
                <c:formatCode>General</c:formatCode>
                <c:ptCount val="2"/>
                <c:pt idx="0">
                  <c:v>100</c:v>
                </c:pt>
                <c:pt idx="1">
                  <c:v>400</c:v>
                </c:pt>
              </c:numCache>
            </c:numRef>
          </c:xVal>
          <c:yVal>
            <c:numRef>
              <c:f>'Formula &amp; Calculated Result'!$D$20:$D$21</c:f>
              <c:numCache>
                <c:formatCode>0.00_ </c:formatCode>
                <c:ptCount val="2"/>
                <c:pt idx="0">
                  <c:v>21.323</c:v>
                </c:pt>
                <c:pt idx="1">
                  <c:v>44.066000000000003</c:v>
                </c:pt>
              </c:numCache>
            </c:numRef>
          </c:yVal>
          <c:smooth val="0"/>
          <c:extLst>
            <c:ext xmlns:c16="http://schemas.microsoft.com/office/drawing/2014/chart" uri="{C3380CC4-5D6E-409C-BE32-E72D297353CC}">
              <c16:uniqueId val="{00000002-E692-45C8-9299-7F885E02CD67}"/>
            </c:ext>
          </c:extLst>
        </c:ser>
        <c:ser>
          <c:idx val="3"/>
          <c:order val="3"/>
          <c:tx>
            <c:strRef>
              <c:f>'Formula &amp; Calculated Result'!$E$19</c:f>
              <c:strCache>
                <c:ptCount val="1"/>
                <c:pt idx="0">
                  <c:v>(B): αa</c:v>
                </c:pt>
              </c:strCache>
            </c:strRef>
          </c:tx>
          <c:spPr>
            <a:ln w="19050" cap="rnd">
              <a:solidFill>
                <a:schemeClr val="accent4"/>
              </a:solidFill>
              <a:round/>
            </a:ln>
            <a:effectLst/>
          </c:spPr>
          <c:marker>
            <c:symbol val="none"/>
          </c:marker>
          <c:xVal>
            <c:numRef>
              <c:f>'Formula &amp; Calculated Result'!$A$20:$A$21</c:f>
              <c:numCache>
                <c:formatCode>General</c:formatCode>
                <c:ptCount val="2"/>
                <c:pt idx="0">
                  <c:v>100</c:v>
                </c:pt>
                <c:pt idx="1">
                  <c:v>400</c:v>
                </c:pt>
              </c:numCache>
            </c:numRef>
          </c:xVal>
          <c:yVal>
            <c:numRef>
              <c:f>'Formula &amp; Calculated Result'!$E$20:$E$21</c:f>
              <c:numCache>
                <c:formatCode>0.00_ </c:formatCode>
                <c:ptCount val="2"/>
                <c:pt idx="0">
                  <c:v>25.986999999999998</c:v>
                </c:pt>
                <c:pt idx="1">
                  <c:v>53.994</c:v>
                </c:pt>
              </c:numCache>
            </c:numRef>
          </c:yVal>
          <c:smooth val="0"/>
          <c:extLst>
            <c:ext xmlns:c16="http://schemas.microsoft.com/office/drawing/2014/chart" uri="{C3380CC4-5D6E-409C-BE32-E72D297353CC}">
              <c16:uniqueId val="{00000003-E692-45C8-9299-7F885E02CD67}"/>
            </c:ext>
          </c:extLst>
        </c:ser>
        <c:ser>
          <c:idx val="4"/>
          <c:order val="4"/>
          <c:tx>
            <c:strRef>
              <c:f>'Formula &amp; Calculated Result'!$F$19</c:f>
              <c:strCache>
                <c:ptCount val="1"/>
                <c:pt idx="0">
                  <c:v>(C): αi</c:v>
                </c:pt>
              </c:strCache>
            </c:strRef>
          </c:tx>
          <c:spPr>
            <a:ln w="19050" cap="rnd">
              <a:solidFill>
                <a:schemeClr val="accent5"/>
              </a:solidFill>
              <a:round/>
            </a:ln>
            <a:effectLst/>
          </c:spPr>
          <c:marker>
            <c:symbol val="none"/>
          </c:marker>
          <c:xVal>
            <c:numRef>
              <c:f>'Formula &amp; Calculated Result'!$A$20:$A$21</c:f>
              <c:numCache>
                <c:formatCode>General</c:formatCode>
                <c:ptCount val="2"/>
                <c:pt idx="0">
                  <c:v>100</c:v>
                </c:pt>
                <c:pt idx="1">
                  <c:v>400</c:v>
                </c:pt>
              </c:numCache>
            </c:numRef>
          </c:xVal>
          <c:yVal>
            <c:numRef>
              <c:f>'Formula &amp; Calculated Result'!$F$20:$F$21</c:f>
              <c:numCache>
                <c:formatCode>0.00_ </c:formatCode>
                <c:ptCount val="2"/>
                <c:pt idx="0">
                  <c:v>21.323</c:v>
                </c:pt>
                <c:pt idx="1">
                  <c:v>44.066000000000003</c:v>
                </c:pt>
              </c:numCache>
            </c:numRef>
          </c:yVal>
          <c:smooth val="0"/>
          <c:extLst>
            <c:ext xmlns:c16="http://schemas.microsoft.com/office/drawing/2014/chart" uri="{C3380CC4-5D6E-409C-BE32-E72D297353CC}">
              <c16:uniqueId val="{00000004-E692-45C8-9299-7F885E02CD67}"/>
            </c:ext>
          </c:extLst>
        </c:ser>
        <c:ser>
          <c:idx val="5"/>
          <c:order val="5"/>
          <c:tx>
            <c:strRef>
              <c:f>'Formula &amp; Calculated Result'!$G$19</c:f>
              <c:strCache>
                <c:ptCount val="1"/>
                <c:pt idx="0">
                  <c:v>(C): αa</c:v>
                </c:pt>
              </c:strCache>
            </c:strRef>
          </c:tx>
          <c:spPr>
            <a:ln w="19050" cap="rnd">
              <a:solidFill>
                <a:schemeClr val="accent6"/>
              </a:solidFill>
              <a:round/>
            </a:ln>
            <a:effectLst/>
          </c:spPr>
          <c:marker>
            <c:symbol val="none"/>
          </c:marker>
          <c:xVal>
            <c:numRef>
              <c:f>'Formula &amp; Calculated Result'!$A$20:$A$21</c:f>
              <c:numCache>
                <c:formatCode>General</c:formatCode>
                <c:ptCount val="2"/>
                <c:pt idx="0">
                  <c:v>100</c:v>
                </c:pt>
                <c:pt idx="1">
                  <c:v>400</c:v>
                </c:pt>
              </c:numCache>
            </c:numRef>
          </c:xVal>
          <c:yVal>
            <c:numRef>
              <c:f>'Formula &amp; Calculated Result'!$G$20:$G$21</c:f>
              <c:numCache>
                <c:formatCode>0.00_ </c:formatCode>
                <c:ptCount val="2"/>
                <c:pt idx="0">
                  <c:v>23.8</c:v>
                </c:pt>
                <c:pt idx="1">
                  <c:v>49.5</c:v>
                </c:pt>
              </c:numCache>
            </c:numRef>
          </c:yVal>
          <c:smooth val="0"/>
          <c:extLst>
            <c:ext xmlns:c16="http://schemas.microsoft.com/office/drawing/2014/chart" uri="{C3380CC4-5D6E-409C-BE32-E72D297353CC}">
              <c16:uniqueId val="{00000005-E692-45C8-9299-7F885E02CD67}"/>
            </c:ext>
          </c:extLst>
        </c:ser>
        <c:dLbls>
          <c:showLegendKey val="0"/>
          <c:showVal val="0"/>
          <c:showCatName val="0"/>
          <c:showSerName val="0"/>
          <c:showPercent val="0"/>
          <c:showBubbleSize val="0"/>
        </c:dLbls>
        <c:axId val="611218256"/>
        <c:axId val="611224336"/>
      </c:scatterChart>
      <c:valAx>
        <c:axId val="611218256"/>
        <c:scaling>
          <c:logBase val="10"/>
          <c:orientation val="minMax"/>
          <c:max val="400"/>
          <c:min val="100"/>
        </c:scaling>
        <c:delete val="0"/>
        <c:axPos val="b"/>
        <c:majorGridlines>
          <c:spPr>
            <a:ln w="12700" cap="flat" cmpd="sng" algn="ctr">
              <a:solidFill>
                <a:schemeClr val="tx1"/>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sz="1050"/>
                  <a:t>Log Scale Frequency f (MHz)</a:t>
                </a:r>
                <a:endParaRPr lang="ja-JP" sz="1050"/>
              </a:p>
            </c:rich>
          </c:tx>
          <c:overlay val="0"/>
          <c:spPr>
            <a:noFill/>
            <a:ln>
              <a:noFill/>
            </a:ln>
            <a:effectLst/>
          </c:spPr>
          <c:txPr>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224336"/>
        <c:crosses val="autoZero"/>
        <c:crossBetween val="midCat"/>
      </c:valAx>
      <c:valAx>
        <c:axId val="611224336"/>
        <c:scaling>
          <c:logBase val="10"/>
          <c:orientation val="minMax"/>
          <c:max val="60"/>
          <c:min val="10"/>
        </c:scaling>
        <c:delete val="0"/>
        <c:axPos val="l"/>
        <c:majorGridlines>
          <c:spPr>
            <a:ln w="12700" cap="flat" cmpd="sng" algn="ctr">
              <a:solidFill>
                <a:schemeClr val="tx1"/>
              </a:solidFill>
              <a:round/>
            </a:ln>
            <a:effectLst/>
          </c:spPr>
        </c:majorGridlines>
        <c:minorGridlines>
          <c:spPr>
            <a:ln w="6350" cap="flat" cmpd="sng" algn="ctr">
              <a:solidFill>
                <a:schemeClr val="bg1">
                  <a:lumMod val="75000"/>
                </a:schemeClr>
              </a:solidFill>
              <a:round/>
            </a:ln>
            <a:effectLst/>
          </c:spPr>
        </c:minorGridlines>
        <c:title>
          <c:tx>
            <c:rich>
              <a:bodyPr rot="-540000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sz="1050"/>
                  <a:t>Loss </a:t>
                </a:r>
                <a:r>
                  <a:rPr lang="el-GR" altLang="ja-JP" sz="1050">
                    <a:latin typeface="Arial" panose="020B0604020202020204" pitchFamily="34" charset="0"/>
                    <a:cs typeface="Arial" panose="020B0604020202020204" pitchFamily="34" charset="0"/>
                  </a:rPr>
                  <a:t>α</a:t>
                </a:r>
                <a:r>
                  <a:rPr lang="en-US" altLang="ja-JP" sz="1050">
                    <a:latin typeface="Arial" panose="020B0604020202020204" pitchFamily="34" charset="0"/>
                    <a:cs typeface="Arial" panose="020B0604020202020204" pitchFamily="34" charset="0"/>
                  </a:rPr>
                  <a:t> </a:t>
                </a:r>
                <a:r>
                  <a:rPr lang="en-US" altLang="ja-JP" sz="1050"/>
                  <a:t>(dB/100m)</a:t>
                </a:r>
                <a:endParaRPr lang="ja-JP" sz="1050"/>
              </a:p>
            </c:rich>
          </c:tx>
          <c:overlay val="0"/>
          <c:spPr>
            <a:noFill/>
            <a:ln>
              <a:noFill/>
            </a:ln>
            <a:effectLst/>
          </c:spPr>
          <c:txPr>
            <a:bodyPr rot="-540000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_ " sourceLinked="0"/>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218256"/>
        <c:crossesAt val="100"/>
        <c:crossBetween val="midCat"/>
      </c:valAx>
      <c:spPr>
        <a:noFill/>
        <a:ln w="15875">
          <a:solidFill>
            <a:schemeClr val="tx1"/>
          </a:solidFill>
        </a:ln>
        <a:effectLst/>
      </c:spPr>
    </c:plotArea>
    <c:legend>
      <c:legendPos val="r"/>
      <c:layout>
        <c:manualLayout>
          <c:xMode val="edge"/>
          <c:yMode val="edge"/>
          <c:x val="0.15591998727431799"/>
          <c:y val="0.10888020478921617"/>
          <c:w val="0.12975"/>
          <c:h val="0.2730825313502479"/>
        </c:manualLayout>
      </c:layout>
      <c:overlay val="0"/>
      <c:spPr>
        <a:solidFill>
          <a:schemeClr val="bg1"/>
        </a:solid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2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sz="1050" b="0">
                <a:solidFill>
                  <a:schemeClr val="tx1"/>
                </a:solidFill>
              </a:rPr>
              <a:t>Zc</a:t>
            </a:r>
            <a:r>
              <a:rPr lang="en-US" altLang="ja-JP" sz="1050" b="0" baseline="0">
                <a:solidFill>
                  <a:schemeClr val="tx1"/>
                </a:solidFill>
              </a:rPr>
              <a:t> Calculation by External Inductance Assumed Equivalent Stranded Conductor d Change</a:t>
            </a:r>
            <a:br>
              <a:rPr lang="en-US" altLang="ja-JP" sz="1050" b="0" baseline="0">
                <a:solidFill>
                  <a:schemeClr val="tx1"/>
                </a:solidFill>
              </a:rPr>
            </a:br>
            <a:r>
              <a:rPr lang="en-US" altLang="ja-JP" sz="1050" b="0" baseline="0">
                <a:solidFill>
                  <a:schemeClr val="tx1"/>
                </a:solidFill>
              </a:rPr>
              <a:t>(C) Quabbin Cat5 PVC, HDPE 7/32AWG UTP, Stored garage 23 Years</a:t>
            </a:r>
            <a:endParaRPr lang="ja-JP" sz="1050" b="0">
              <a:solidFill>
                <a:schemeClr val="tx1"/>
              </a:solidFill>
            </a:endParaRPr>
          </a:p>
        </c:rich>
      </c:tx>
      <c:layout>
        <c:manualLayout>
          <c:xMode val="edge"/>
          <c:yMode val="edge"/>
          <c:x val="0.14303492122135758"/>
          <c:y val="1.7977523848530162E-2"/>
        </c:manualLayout>
      </c:layout>
      <c:overlay val="0"/>
      <c:spPr>
        <a:noFill/>
        <a:ln>
          <a:noFill/>
        </a:ln>
        <a:effectLst/>
      </c:spPr>
      <c:txPr>
        <a:bodyPr rot="0" spcFirstLastPara="1" vertOverflow="ellipsis" vert="horz" wrap="square" anchor="ctr" anchorCtr="1"/>
        <a:lstStyle/>
        <a:p>
          <a:pPr>
            <a:defRPr lang="ja-JP" sz="12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534047647341018"/>
          <c:y val="0.10500002870735695"/>
          <c:w val="0.84899278644079734"/>
          <c:h val="0.75528591297187031"/>
        </c:manualLayout>
      </c:layout>
      <c:scatterChart>
        <c:scatterStyle val="smoothMarker"/>
        <c:varyColors val="0"/>
        <c:ser>
          <c:idx val="0"/>
          <c:order val="0"/>
          <c:tx>
            <c:strRef>
              <c:f>'Formula &amp; Calculated Result'!$B$100</c:f>
              <c:strCache>
                <c:ptCount val="1"/>
                <c:pt idx="0">
                  <c:v>Zc (Ohm)</c:v>
                </c:pt>
              </c:strCache>
            </c:strRef>
          </c:tx>
          <c:spPr>
            <a:ln w="19050" cap="rnd">
              <a:solidFill>
                <a:schemeClr val="accent1"/>
              </a:solidFill>
              <a:round/>
            </a:ln>
            <a:effectLst/>
          </c:spPr>
          <c:marker>
            <c:symbol val="none"/>
          </c:marker>
          <c:xVal>
            <c:numRef>
              <c:f>'Formula &amp; Calculated Result'!$A$101:$A$106</c:f>
              <c:numCache>
                <c:formatCode>General</c:formatCode>
                <c:ptCount val="6"/>
                <c:pt idx="0">
                  <c:v>100</c:v>
                </c:pt>
                <c:pt idx="1">
                  <c:v>200</c:v>
                </c:pt>
                <c:pt idx="2">
                  <c:v>300</c:v>
                </c:pt>
                <c:pt idx="3">
                  <c:v>400</c:v>
                </c:pt>
                <c:pt idx="4">
                  <c:v>500</c:v>
                </c:pt>
                <c:pt idx="5">
                  <c:v>600</c:v>
                </c:pt>
              </c:numCache>
            </c:numRef>
          </c:xVal>
          <c:yVal>
            <c:numRef>
              <c:f>'Formula &amp; Calculated Result'!$B$101:$B$106</c:f>
              <c:numCache>
                <c:formatCode>0.00_ </c:formatCode>
                <c:ptCount val="6"/>
                <c:pt idx="0">
                  <c:v>103.30338931439725</c:v>
                </c:pt>
                <c:pt idx="1">
                  <c:v>106.71590243841925</c:v>
                </c:pt>
                <c:pt idx="2">
                  <c:v>110.2411441563326</c:v>
                </c:pt>
                <c:pt idx="3">
                  <c:v>113.88283833246219</c:v>
                </c:pt>
                <c:pt idx="4">
                  <c:v>117.64483184486905</c:v>
                </c:pt>
                <c:pt idx="5">
                  <c:v>121.53109864897307</c:v>
                </c:pt>
              </c:numCache>
            </c:numRef>
          </c:yVal>
          <c:smooth val="1"/>
          <c:extLst>
            <c:ext xmlns:c16="http://schemas.microsoft.com/office/drawing/2014/chart" uri="{C3380CC4-5D6E-409C-BE32-E72D297353CC}">
              <c16:uniqueId val="{00000000-CB3D-4F3C-A5F8-8374B9066592}"/>
            </c:ext>
          </c:extLst>
        </c:ser>
        <c:ser>
          <c:idx val="1"/>
          <c:order val="1"/>
          <c:tx>
            <c:strRef>
              <c:f>'Formula &amp; Calculated Result'!$C$100</c:f>
              <c:strCache>
                <c:ptCount val="1"/>
                <c:pt idx="0">
                  <c:v>RL (dB)</c:v>
                </c:pt>
              </c:strCache>
            </c:strRef>
          </c:tx>
          <c:spPr>
            <a:ln w="19050" cap="rnd">
              <a:solidFill>
                <a:schemeClr val="accent2"/>
              </a:solidFill>
              <a:round/>
            </a:ln>
            <a:effectLst/>
          </c:spPr>
          <c:marker>
            <c:symbol val="none"/>
          </c:marker>
          <c:xVal>
            <c:numRef>
              <c:f>'Formula &amp; Calculated Result'!$A$101:$A$106</c:f>
              <c:numCache>
                <c:formatCode>General</c:formatCode>
                <c:ptCount val="6"/>
                <c:pt idx="0">
                  <c:v>100</c:v>
                </c:pt>
                <c:pt idx="1">
                  <c:v>200</c:v>
                </c:pt>
                <c:pt idx="2">
                  <c:v>300</c:v>
                </c:pt>
                <c:pt idx="3">
                  <c:v>400</c:v>
                </c:pt>
                <c:pt idx="4">
                  <c:v>500</c:v>
                </c:pt>
                <c:pt idx="5">
                  <c:v>600</c:v>
                </c:pt>
              </c:numCache>
            </c:numRef>
          </c:xVal>
          <c:yVal>
            <c:numRef>
              <c:f>'Formula &amp; Calculated Result'!$C$101:$C$106</c:f>
              <c:numCache>
                <c:formatCode>0.0_ </c:formatCode>
                <c:ptCount val="6"/>
                <c:pt idx="0">
                  <c:v>35.783697185843081</c:v>
                </c:pt>
                <c:pt idx="1">
                  <c:v>29.765390183914771</c:v>
                </c:pt>
                <c:pt idx="2">
                  <c:v>26.247384639406338</c:v>
                </c:pt>
                <c:pt idx="3">
                  <c:v>23.753953450025179</c:v>
                </c:pt>
                <c:pt idx="4">
                  <c:v>21.822616700896763</c:v>
                </c:pt>
                <c:pt idx="5">
                  <c:v>20.247370211159861</c:v>
                </c:pt>
              </c:numCache>
            </c:numRef>
          </c:yVal>
          <c:smooth val="1"/>
          <c:extLst>
            <c:ext xmlns:c16="http://schemas.microsoft.com/office/drawing/2014/chart" uri="{C3380CC4-5D6E-409C-BE32-E72D297353CC}">
              <c16:uniqueId val="{00000001-CB3D-4F3C-A5F8-8374B9066592}"/>
            </c:ext>
          </c:extLst>
        </c:ser>
        <c:ser>
          <c:idx val="2"/>
          <c:order val="2"/>
          <c:tx>
            <c:strRef>
              <c:f>'Formula &amp; Calculated Result'!$D$100</c:f>
              <c:strCache>
                <c:ptCount val="1"/>
                <c:pt idx="0">
                  <c:v>Le (mH/Km)</c:v>
                </c:pt>
              </c:strCache>
            </c:strRef>
          </c:tx>
          <c:spPr>
            <a:ln w="19050" cap="rnd">
              <a:solidFill>
                <a:srgbClr val="00B050"/>
              </a:solidFill>
              <a:round/>
            </a:ln>
            <a:effectLst/>
          </c:spPr>
          <c:marker>
            <c:symbol val="none"/>
          </c:marker>
          <c:trendline>
            <c:spPr>
              <a:ln w="19050" cap="rnd">
                <a:solidFill>
                  <a:srgbClr val="00B050"/>
                </a:solidFill>
                <a:prstDash val="sysDot"/>
              </a:ln>
              <a:effectLst/>
            </c:spPr>
            <c:trendlineType val="exp"/>
            <c:dispRSqr val="0"/>
            <c:dispEq val="1"/>
            <c:trendlineLbl>
              <c:layout>
                <c:manualLayout>
                  <c:x val="-0.10373901123322152"/>
                  <c:y val="-1.2174734447387163E-2"/>
                </c:manualLayout>
              </c:layout>
              <c:tx>
                <c:rich>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sz="1400" baseline="0">
                        <a:solidFill>
                          <a:srgbClr val="00B050"/>
                        </a:solidFill>
                      </a:rPr>
                      <a:t>y = 50.0 e</a:t>
                    </a:r>
                    <a:r>
                      <a:rPr lang="en-US" altLang="ja-JP" sz="1400" baseline="30000">
                        <a:solidFill>
                          <a:srgbClr val="00B050"/>
                        </a:solidFill>
                      </a:rPr>
                      <a:t>0.00065 x</a:t>
                    </a:r>
                    <a:endParaRPr lang="en-US" altLang="ja-JP" sz="1400">
                      <a:solidFill>
                        <a:srgbClr val="00B050"/>
                      </a:solidFill>
                    </a:endParaRPr>
                  </a:p>
                </c:rich>
              </c:tx>
              <c:numFmt formatCode="#,##0.000000_);[Red]\(#,##0.000000\)" sourceLinked="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rendlineLbl>
          </c:trendline>
          <c:xVal>
            <c:numRef>
              <c:f>'Formula &amp; Calculated Result'!$A$101:$A$106</c:f>
              <c:numCache>
                <c:formatCode>General</c:formatCode>
                <c:ptCount val="6"/>
                <c:pt idx="0">
                  <c:v>100</c:v>
                </c:pt>
                <c:pt idx="1">
                  <c:v>200</c:v>
                </c:pt>
                <c:pt idx="2">
                  <c:v>300</c:v>
                </c:pt>
                <c:pt idx="3">
                  <c:v>400</c:v>
                </c:pt>
                <c:pt idx="4">
                  <c:v>500</c:v>
                </c:pt>
                <c:pt idx="5">
                  <c:v>600</c:v>
                </c:pt>
              </c:numCache>
            </c:numRef>
          </c:xVal>
          <c:yVal>
            <c:numRef>
              <c:f>'Formula &amp; Calculated Result'!$D$101:$D$106</c:f>
              <c:numCache>
                <c:formatCode>0.0_ </c:formatCode>
                <c:ptCount val="6"/>
                <c:pt idx="0">
                  <c:v>53.357951219209625</c:v>
                </c:pt>
                <c:pt idx="1">
                  <c:v>56.941419166231086</c:v>
                </c:pt>
                <c:pt idx="2">
                  <c:v>60.765549324486528</c:v>
                </c:pt>
                <c:pt idx="3">
                  <c:v>64.846504333288593</c:v>
                </c:pt>
                <c:pt idx="4">
                  <c:v>69.201532299037567</c:v>
                </c:pt>
                <c:pt idx="5">
                  <c:v>73.849039694132117</c:v>
                </c:pt>
              </c:numCache>
            </c:numRef>
          </c:yVal>
          <c:smooth val="1"/>
          <c:extLst>
            <c:ext xmlns:c16="http://schemas.microsoft.com/office/drawing/2014/chart" uri="{C3380CC4-5D6E-409C-BE32-E72D297353CC}">
              <c16:uniqueId val="{00000003-CB3D-4F3C-A5F8-8374B9066592}"/>
            </c:ext>
          </c:extLst>
        </c:ser>
        <c:dLbls>
          <c:showLegendKey val="0"/>
          <c:showVal val="0"/>
          <c:showCatName val="0"/>
          <c:showSerName val="0"/>
          <c:showPercent val="0"/>
          <c:showBubbleSize val="0"/>
        </c:dLbls>
        <c:axId val="574191120"/>
        <c:axId val="574189840"/>
      </c:scatterChart>
      <c:valAx>
        <c:axId val="574191120"/>
        <c:scaling>
          <c:orientation val="minMax"/>
          <c:max val="600"/>
          <c:min val="10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r>
                  <a:rPr lang="en-US" altLang="ja-JP">
                    <a:solidFill>
                      <a:schemeClr val="tx1"/>
                    </a:solidFill>
                  </a:rPr>
                  <a:t>Frequency f (MHz)</a:t>
                </a:r>
                <a:endParaRPr lang="ja-JP">
                  <a:solidFill>
                    <a:schemeClr val="tx1"/>
                  </a:solidFill>
                </a:endParaRPr>
              </a:p>
            </c:rich>
          </c:tx>
          <c:overlay val="0"/>
          <c:spPr>
            <a:noFill/>
            <a:ln>
              <a:noFill/>
            </a:ln>
            <a:effectLst/>
          </c:spPr>
          <c:txPr>
            <a:bodyPr rot="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4189840"/>
        <c:crosses val="autoZero"/>
        <c:crossBetween val="midCat"/>
        <c:minorUnit val="10"/>
      </c:valAx>
      <c:valAx>
        <c:axId val="574189840"/>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r>
                  <a:rPr lang="en-US" altLang="ja-JP">
                    <a:solidFill>
                      <a:schemeClr val="tx1"/>
                    </a:solidFill>
                  </a:rPr>
                  <a:t>Zc (Ohm), RL (dB), Le (mH/Km)</a:t>
                </a:r>
                <a:endParaRPr lang="ja-JP">
                  <a:solidFill>
                    <a:schemeClr val="tx1"/>
                  </a:solidFill>
                </a:endParaRPr>
              </a:p>
            </c:rich>
          </c:tx>
          <c:overlay val="0"/>
          <c:spPr>
            <a:noFill/>
            <a:ln>
              <a:noFill/>
            </a:ln>
            <a:effectLst/>
          </c:spPr>
          <c:txPr>
            <a:bodyPr rot="-54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_ "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4191120"/>
        <c:crosses val="autoZero"/>
        <c:crossBetween val="midCat"/>
      </c:valAx>
      <c:spPr>
        <a:noFill/>
        <a:ln w="15875">
          <a:solidFill>
            <a:schemeClr val="tx1"/>
          </a:solidFill>
        </a:ln>
        <a:effectLst/>
      </c:spPr>
    </c:plotArea>
    <c:legend>
      <c:legendPos val="r"/>
      <c:legendEntry>
        <c:idx val="3"/>
        <c:delete val="1"/>
      </c:legendEntry>
      <c:layout>
        <c:manualLayout>
          <c:xMode val="edge"/>
          <c:yMode val="edge"/>
          <c:x val="0.24885269873933027"/>
          <c:y val="0.30188263151888622"/>
          <c:w val="0.25561939448667975"/>
          <c:h val="0.20258992941033208"/>
        </c:manualLayout>
      </c:layout>
      <c:overlay val="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26313117913754"/>
          <c:y val="0.10840253719656065"/>
          <c:w val="0.83203842150508822"/>
          <c:h val="0.76942123892858694"/>
        </c:manualLayout>
      </c:layout>
      <c:scatterChart>
        <c:scatterStyle val="smoothMarker"/>
        <c:varyColors val="0"/>
        <c:ser>
          <c:idx val="0"/>
          <c:order val="0"/>
          <c:tx>
            <c:strRef>
              <c:f>'Formula &amp; Calculated Result'!$B$111</c:f>
              <c:strCache>
                <c:ptCount val="1"/>
                <c:pt idx="0">
                  <c:v>Real Zci</c:v>
                </c:pt>
              </c:strCache>
            </c:strRef>
          </c:tx>
          <c:spPr>
            <a:ln w="19050" cap="rnd">
              <a:solidFill>
                <a:srgbClr val="00B0F0"/>
              </a:solidFill>
              <a:round/>
            </a:ln>
            <a:effectLst/>
          </c:spPr>
          <c:marker>
            <c:symbol val="none"/>
          </c:marker>
          <c:xVal>
            <c:numRef>
              <c:f>'Formula &amp; Calculated Result'!$A$112:$A$136</c:f>
              <c:numCache>
                <c:formatCode>0.00E+00</c:formatCode>
                <c:ptCount val="25"/>
                <c:pt idx="0">
                  <c:v>1000</c:v>
                </c:pt>
                <c:pt idx="1">
                  <c:v>2000</c:v>
                </c:pt>
                <c:pt idx="2">
                  <c:v>5000</c:v>
                </c:pt>
                <c:pt idx="3">
                  <c:v>7000</c:v>
                </c:pt>
                <c:pt idx="4">
                  <c:v>10000</c:v>
                </c:pt>
                <c:pt idx="5">
                  <c:v>20000</c:v>
                </c:pt>
                <c:pt idx="6">
                  <c:v>50000</c:v>
                </c:pt>
                <c:pt idx="7">
                  <c:v>70000</c:v>
                </c:pt>
                <c:pt idx="8">
                  <c:v>100000</c:v>
                </c:pt>
                <c:pt idx="9">
                  <c:v>200000</c:v>
                </c:pt>
                <c:pt idx="10">
                  <c:v>500000</c:v>
                </c:pt>
                <c:pt idx="11">
                  <c:v>700000</c:v>
                </c:pt>
                <c:pt idx="12">
                  <c:v>1000000</c:v>
                </c:pt>
                <c:pt idx="13">
                  <c:v>2000000</c:v>
                </c:pt>
                <c:pt idx="14">
                  <c:v>5000000</c:v>
                </c:pt>
                <c:pt idx="15">
                  <c:v>7000000</c:v>
                </c:pt>
                <c:pt idx="16">
                  <c:v>10000000</c:v>
                </c:pt>
                <c:pt idx="17">
                  <c:v>20000000</c:v>
                </c:pt>
                <c:pt idx="18">
                  <c:v>50000000</c:v>
                </c:pt>
                <c:pt idx="19">
                  <c:v>70000000</c:v>
                </c:pt>
                <c:pt idx="20">
                  <c:v>100000000</c:v>
                </c:pt>
                <c:pt idx="21">
                  <c:v>200000000</c:v>
                </c:pt>
                <c:pt idx="22">
                  <c:v>500000000</c:v>
                </c:pt>
                <c:pt idx="23">
                  <c:v>700000000</c:v>
                </c:pt>
                <c:pt idx="24">
                  <c:v>1000000000</c:v>
                </c:pt>
              </c:numCache>
            </c:numRef>
          </c:xVal>
          <c:yVal>
            <c:numRef>
              <c:f>'Formula &amp; Calculated Result'!$B$112:$B$136</c:f>
              <c:numCache>
                <c:formatCode>0.00E+00</c:formatCode>
                <c:ptCount val="25"/>
                <c:pt idx="0">
                  <c:v>299.05275858121036</c:v>
                </c:pt>
                <c:pt idx="1">
                  <c:v>240.75155540666259</c:v>
                </c:pt>
                <c:pt idx="2">
                  <c:v>189.01909985928819</c:v>
                </c:pt>
                <c:pt idx="3">
                  <c:v>175.2348709981801</c:v>
                </c:pt>
                <c:pt idx="4">
                  <c:v>162.94600916562513</c:v>
                </c:pt>
                <c:pt idx="5">
                  <c:v>144.50954992964409</c:v>
                </c:pt>
                <c:pt idx="6">
                  <c:v>128.15031108133252</c:v>
                </c:pt>
                <c:pt idx="7">
                  <c:v>123.79135518231948</c:v>
                </c:pt>
                <c:pt idx="8">
                  <c:v>119.90527585812103</c:v>
                </c:pt>
                <c:pt idx="9">
                  <c:v>114.07515554066626</c:v>
                </c:pt>
                <c:pt idx="10">
                  <c:v>108.90190998592882</c:v>
                </c:pt>
                <c:pt idx="11">
                  <c:v>107.52348709981801</c:v>
                </c:pt>
                <c:pt idx="12">
                  <c:v>106.29460091656252</c:v>
                </c:pt>
                <c:pt idx="13">
                  <c:v>104.45095499296441</c:v>
                </c:pt>
                <c:pt idx="14">
                  <c:v>102.81503110813325</c:v>
                </c:pt>
                <c:pt idx="15">
                  <c:v>102.37913551823195</c:v>
                </c:pt>
                <c:pt idx="16">
                  <c:v>101.9905275858121</c:v>
                </c:pt>
                <c:pt idx="17">
                  <c:v>101.40751555406662</c:v>
                </c:pt>
                <c:pt idx="18">
                  <c:v>100.89019099859289</c:v>
                </c:pt>
                <c:pt idx="19">
                  <c:v>100.7523487099818</c:v>
                </c:pt>
                <c:pt idx="20">
                  <c:v>100.62946009165626</c:v>
                </c:pt>
                <c:pt idx="21">
                  <c:v>100.44509549929644</c:v>
                </c:pt>
                <c:pt idx="22">
                  <c:v>100.28150311081332</c:v>
                </c:pt>
                <c:pt idx="23">
                  <c:v>100.2379135518232</c:v>
                </c:pt>
                <c:pt idx="24">
                  <c:v>100.19905275858122</c:v>
                </c:pt>
              </c:numCache>
            </c:numRef>
          </c:yVal>
          <c:smooth val="1"/>
          <c:extLst>
            <c:ext xmlns:c16="http://schemas.microsoft.com/office/drawing/2014/chart" uri="{C3380CC4-5D6E-409C-BE32-E72D297353CC}">
              <c16:uniqueId val="{00000000-9C9B-434C-9001-CB8844E9DCB6}"/>
            </c:ext>
          </c:extLst>
        </c:ser>
        <c:ser>
          <c:idx val="1"/>
          <c:order val="1"/>
          <c:tx>
            <c:strRef>
              <c:f>'Formula &amp; Calculated Result'!$C$111</c:f>
              <c:strCache>
                <c:ptCount val="1"/>
                <c:pt idx="0">
                  <c:v>Im Zci</c:v>
                </c:pt>
              </c:strCache>
            </c:strRef>
          </c:tx>
          <c:spPr>
            <a:ln w="19050" cap="rnd">
              <a:solidFill>
                <a:srgbClr val="00B0F0"/>
              </a:solidFill>
              <a:prstDash val="dash"/>
              <a:round/>
            </a:ln>
            <a:effectLst/>
          </c:spPr>
          <c:marker>
            <c:symbol val="none"/>
          </c:marker>
          <c:xVal>
            <c:numRef>
              <c:f>'Formula &amp; Calculated Result'!$A$112:$A$136</c:f>
              <c:numCache>
                <c:formatCode>0.00E+00</c:formatCode>
                <c:ptCount val="25"/>
                <c:pt idx="0">
                  <c:v>1000</c:v>
                </c:pt>
                <c:pt idx="1">
                  <c:v>2000</c:v>
                </c:pt>
                <c:pt idx="2">
                  <c:v>5000</c:v>
                </c:pt>
                <c:pt idx="3">
                  <c:v>7000</c:v>
                </c:pt>
                <c:pt idx="4">
                  <c:v>10000</c:v>
                </c:pt>
                <c:pt idx="5">
                  <c:v>20000</c:v>
                </c:pt>
                <c:pt idx="6">
                  <c:v>50000</c:v>
                </c:pt>
                <c:pt idx="7">
                  <c:v>70000</c:v>
                </c:pt>
                <c:pt idx="8">
                  <c:v>100000</c:v>
                </c:pt>
                <c:pt idx="9">
                  <c:v>200000</c:v>
                </c:pt>
                <c:pt idx="10">
                  <c:v>500000</c:v>
                </c:pt>
                <c:pt idx="11">
                  <c:v>700000</c:v>
                </c:pt>
                <c:pt idx="12">
                  <c:v>1000000</c:v>
                </c:pt>
                <c:pt idx="13">
                  <c:v>2000000</c:v>
                </c:pt>
                <c:pt idx="14">
                  <c:v>5000000</c:v>
                </c:pt>
                <c:pt idx="15">
                  <c:v>7000000</c:v>
                </c:pt>
                <c:pt idx="16">
                  <c:v>10000000</c:v>
                </c:pt>
                <c:pt idx="17">
                  <c:v>20000000</c:v>
                </c:pt>
                <c:pt idx="18">
                  <c:v>50000000</c:v>
                </c:pt>
                <c:pt idx="19">
                  <c:v>70000000</c:v>
                </c:pt>
                <c:pt idx="20">
                  <c:v>100000000</c:v>
                </c:pt>
                <c:pt idx="21">
                  <c:v>200000000</c:v>
                </c:pt>
                <c:pt idx="22">
                  <c:v>500000000</c:v>
                </c:pt>
                <c:pt idx="23">
                  <c:v>700000000</c:v>
                </c:pt>
                <c:pt idx="24">
                  <c:v>1000000000</c:v>
                </c:pt>
              </c:numCache>
            </c:numRef>
          </c:xVal>
          <c:yVal>
            <c:numRef>
              <c:f>'Formula &amp; Calculated Result'!$C$112:$C$136</c:f>
              <c:numCache>
                <c:formatCode>0.00E+00</c:formatCode>
                <c:ptCount val="25"/>
                <c:pt idx="0">
                  <c:v>-201.0007208148759</c:v>
                </c:pt>
                <c:pt idx="1">
                  <c:v>-142.69951764032814</c:v>
                </c:pt>
                <c:pt idx="2">
                  <c:v>-90.967062092953739</c:v>
                </c:pt>
                <c:pt idx="3">
                  <c:v>-77.182833231845649</c:v>
                </c:pt>
                <c:pt idx="4">
                  <c:v>-64.893971399290677</c:v>
                </c:pt>
                <c:pt idx="5">
                  <c:v>-46.457512163309651</c:v>
                </c:pt>
                <c:pt idx="6">
                  <c:v>-30.098273314998075</c:v>
                </c:pt>
                <c:pt idx="7">
                  <c:v>-25.739317415985035</c:v>
                </c:pt>
                <c:pt idx="8">
                  <c:v>-21.853238091786586</c:v>
                </c:pt>
                <c:pt idx="9">
                  <c:v>-16.023117774331816</c:v>
                </c:pt>
                <c:pt idx="10">
                  <c:v>-10.849872219594381</c:v>
                </c:pt>
                <c:pt idx="11">
                  <c:v>-9.4714493334835694</c:v>
                </c:pt>
                <c:pt idx="12">
                  <c:v>-8.2425631502280723</c:v>
                </c:pt>
                <c:pt idx="13">
                  <c:v>-6.3989172266299681</c:v>
                </c:pt>
                <c:pt idx="14">
                  <c:v>-4.7629933417988104</c:v>
                </c:pt>
                <c:pt idx="15">
                  <c:v>-4.3270977518975036</c:v>
                </c:pt>
                <c:pt idx="16">
                  <c:v>-3.9384898194776587</c:v>
                </c:pt>
                <c:pt idx="17">
                  <c:v>-3.355477787732176</c:v>
                </c:pt>
                <c:pt idx="18">
                  <c:v>-2.8381532322584411</c:v>
                </c:pt>
                <c:pt idx="19">
                  <c:v>-2.7003109436473585</c:v>
                </c:pt>
                <c:pt idx="20">
                  <c:v>-2.5774223253218116</c:v>
                </c:pt>
                <c:pt idx="21">
                  <c:v>-2.3930577329619984</c:v>
                </c:pt>
                <c:pt idx="22">
                  <c:v>-2.2294653444788741</c:v>
                </c:pt>
                <c:pt idx="23">
                  <c:v>-2.1858757854887534</c:v>
                </c:pt>
                <c:pt idx="24">
                  <c:v>-2.1470149922467732</c:v>
                </c:pt>
              </c:numCache>
            </c:numRef>
          </c:yVal>
          <c:smooth val="1"/>
          <c:extLst>
            <c:ext xmlns:c16="http://schemas.microsoft.com/office/drawing/2014/chart" uri="{C3380CC4-5D6E-409C-BE32-E72D297353CC}">
              <c16:uniqueId val="{00000001-9C9B-434C-9001-CB8844E9DCB6}"/>
            </c:ext>
          </c:extLst>
        </c:ser>
        <c:ser>
          <c:idx val="2"/>
          <c:order val="2"/>
          <c:tx>
            <c:strRef>
              <c:f>'Formula &amp; Calculated Result'!$D$111</c:f>
              <c:strCache>
                <c:ptCount val="1"/>
                <c:pt idx="0">
                  <c:v>Zci</c:v>
                </c:pt>
              </c:strCache>
            </c:strRef>
          </c:tx>
          <c:spPr>
            <a:ln w="19050" cap="rnd">
              <a:solidFill>
                <a:srgbClr val="0070C0"/>
              </a:solidFill>
              <a:round/>
            </a:ln>
            <a:effectLst/>
          </c:spPr>
          <c:marker>
            <c:symbol val="none"/>
          </c:marker>
          <c:xVal>
            <c:numRef>
              <c:f>'Formula &amp; Calculated Result'!$A$112:$A$136</c:f>
              <c:numCache>
                <c:formatCode>0.00E+00</c:formatCode>
                <c:ptCount val="25"/>
                <c:pt idx="0">
                  <c:v>1000</c:v>
                </c:pt>
                <c:pt idx="1">
                  <c:v>2000</c:v>
                </c:pt>
                <c:pt idx="2">
                  <c:v>5000</c:v>
                </c:pt>
                <c:pt idx="3">
                  <c:v>7000</c:v>
                </c:pt>
                <c:pt idx="4">
                  <c:v>10000</c:v>
                </c:pt>
                <c:pt idx="5">
                  <c:v>20000</c:v>
                </c:pt>
                <c:pt idx="6">
                  <c:v>50000</c:v>
                </c:pt>
                <c:pt idx="7">
                  <c:v>70000</c:v>
                </c:pt>
                <c:pt idx="8">
                  <c:v>100000</c:v>
                </c:pt>
                <c:pt idx="9">
                  <c:v>200000</c:v>
                </c:pt>
                <c:pt idx="10">
                  <c:v>500000</c:v>
                </c:pt>
                <c:pt idx="11">
                  <c:v>700000</c:v>
                </c:pt>
                <c:pt idx="12">
                  <c:v>1000000</c:v>
                </c:pt>
                <c:pt idx="13">
                  <c:v>2000000</c:v>
                </c:pt>
                <c:pt idx="14">
                  <c:v>5000000</c:v>
                </c:pt>
                <c:pt idx="15">
                  <c:v>7000000</c:v>
                </c:pt>
                <c:pt idx="16">
                  <c:v>10000000</c:v>
                </c:pt>
                <c:pt idx="17">
                  <c:v>20000000</c:v>
                </c:pt>
                <c:pt idx="18">
                  <c:v>50000000</c:v>
                </c:pt>
                <c:pt idx="19">
                  <c:v>70000000</c:v>
                </c:pt>
                <c:pt idx="20">
                  <c:v>100000000</c:v>
                </c:pt>
                <c:pt idx="21">
                  <c:v>200000000</c:v>
                </c:pt>
                <c:pt idx="22">
                  <c:v>500000000</c:v>
                </c:pt>
                <c:pt idx="23">
                  <c:v>700000000</c:v>
                </c:pt>
                <c:pt idx="24">
                  <c:v>1000000000</c:v>
                </c:pt>
              </c:numCache>
            </c:numRef>
          </c:xVal>
          <c:yVal>
            <c:numRef>
              <c:f>'Formula &amp; Calculated Result'!$D$112:$D$136</c:f>
              <c:numCache>
                <c:formatCode>General</c:formatCode>
                <c:ptCount val="25"/>
                <c:pt idx="0">
                  <c:v>360.32463443835115</c:v>
                </c:pt>
                <c:pt idx="1">
                  <c:v>279.8650813615547</c:v>
                </c:pt>
                <c:pt idx="2">
                  <c:v>209.76946035454938</c:v>
                </c:pt>
                <c:pt idx="3">
                  <c:v>191.47963275357441</c:v>
                </c:pt>
                <c:pt idx="4">
                  <c:v>175.39278613151666</c:v>
                </c:pt>
                <c:pt idx="5">
                  <c:v>151.79364432436677</c:v>
                </c:pt>
                <c:pt idx="6">
                  <c:v>131.6374121850875</c:v>
                </c:pt>
                <c:pt idx="7">
                  <c:v>126.43896582508101</c:v>
                </c:pt>
                <c:pt idx="8">
                  <c:v>121.88042990451098</c:v>
                </c:pt>
                <c:pt idx="9">
                  <c:v>115.1949713088089</c:v>
                </c:pt>
                <c:pt idx="10">
                  <c:v>109.44106051096577</c:v>
                </c:pt>
                <c:pt idx="11">
                  <c:v>107.93983801443041</c:v>
                </c:pt>
                <c:pt idx="12">
                  <c:v>106.61370470674392</c:v>
                </c:pt>
                <c:pt idx="13">
                  <c:v>104.64677797531819</c:v>
                </c:pt>
                <c:pt idx="14">
                  <c:v>102.92529682901298</c:v>
                </c:pt>
                <c:pt idx="15">
                  <c:v>102.4705380312555</c:v>
                </c:pt>
                <c:pt idx="16">
                  <c:v>102.06654407439505</c:v>
                </c:pt>
                <c:pt idx="17">
                  <c:v>101.463015143609</c:v>
                </c:pt>
                <c:pt idx="18">
                  <c:v>100.93010330670593</c:v>
                </c:pt>
                <c:pt idx="19">
                  <c:v>100.78852836394702</c:v>
                </c:pt>
                <c:pt idx="20">
                  <c:v>100.66246243849446</c:v>
                </c:pt>
                <c:pt idx="21">
                  <c:v>100.473598199607</c:v>
                </c:pt>
                <c:pt idx="22">
                  <c:v>100.30628286346919</c:v>
                </c:pt>
                <c:pt idx="23">
                  <c:v>100.26174428051991</c:v>
                </c:pt>
                <c:pt idx="24">
                  <c:v>100.22205269846489</c:v>
                </c:pt>
              </c:numCache>
            </c:numRef>
          </c:yVal>
          <c:smooth val="1"/>
          <c:extLst>
            <c:ext xmlns:c16="http://schemas.microsoft.com/office/drawing/2014/chart" uri="{C3380CC4-5D6E-409C-BE32-E72D297353CC}">
              <c16:uniqueId val="{00000002-9C9B-434C-9001-CB8844E9DCB6}"/>
            </c:ext>
          </c:extLst>
        </c:ser>
        <c:ser>
          <c:idx val="3"/>
          <c:order val="3"/>
          <c:tx>
            <c:strRef>
              <c:f>'Formula &amp; Calculated Result'!$E$111</c:f>
              <c:strCache>
                <c:ptCount val="1"/>
                <c:pt idx="0">
                  <c:v>Real Zca</c:v>
                </c:pt>
              </c:strCache>
            </c:strRef>
          </c:tx>
          <c:spPr>
            <a:ln w="19050" cap="rnd">
              <a:solidFill>
                <a:srgbClr val="C00000"/>
              </a:solidFill>
              <a:round/>
            </a:ln>
            <a:effectLst/>
          </c:spPr>
          <c:marker>
            <c:symbol val="none"/>
          </c:marker>
          <c:xVal>
            <c:numRef>
              <c:f>'Formula &amp; Calculated Result'!$A$112:$A$136</c:f>
              <c:numCache>
                <c:formatCode>0.00E+00</c:formatCode>
                <c:ptCount val="25"/>
                <c:pt idx="0">
                  <c:v>1000</c:v>
                </c:pt>
                <c:pt idx="1">
                  <c:v>2000</c:v>
                </c:pt>
                <c:pt idx="2">
                  <c:v>5000</c:v>
                </c:pt>
                <c:pt idx="3">
                  <c:v>7000</c:v>
                </c:pt>
                <c:pt idx="4">
                  <c:v>10000</c:v>
                </c:pt>
                <c:pt idx="5">
                  <c:v>20000</c:v>
                </c:pt>
                <c:pt idx="6">
                  <c:v>50000</c:v>
                </c:pt>
                <c:pt idx="7">
                  <c:v>70000</c:v>
                </c:pt>
                <c:pt idx="8">
                  <c:v>100000</c:v>
                </c:pt>
                <c:pt idx="9">
                  <c:v>200000</c:v>
                </c:pt>
                <c:pt idx="10">
                  <c:v>500000</c:v>
                </c:pt>
                <c:pt idx="11">
                  <c:v>700000</c:v>
                </c:pt>
                <c:pt idx="12">
                  <c:v>1000000</c:v>
                </c:pt>
                <c:pt idx="13">
                  <c:v>2000000</c:v>
                </c:pt>
                <c:pt idx="14">
                  <c:v>5000000</c:v>
                </c:pt>
                <c:pt idx="15">
                  <c:v>7000000</c:v>
                </c:pt>
                <c:pt idx="16">
                  <c:v>10000000</c:v>
                </c:pt>
                <c:pt idx="17">
                  <c:v>20000000</c:v>
                </c:pt>
                <c:pt idx="18">
                  <c:v>50000000</c:v>
                </c:pt>
                <c:pt idx="19">
                  <c:v>70000000</c:v>
                </c:pt>
                <c:pt idx="20">
                  <c:v>100000000</c:v>
                </c:pt>
                <c:pt idx="21">
                  <c:v>200000000</c:v>
                </c:pt>
                <c:pt idx="22">
                  <c:v>500000000</c:v>
                </c:pt>
                <c:pt idx="23">
                  <c:v>700000000</c:v>
                </c:pt>
                <c:pt idx="24">
                  <c:v>1000000000</c:v>
                </c:pt>
              </c:numCache>
            </c:numRef>
          </c:xVal>
          <c:yVal>
            <c:numRef>
              <c:f>'Formula &amp; Calculated Result'!$E$112:$E$136</c:f>
              <c:numCache>
                <c:formatCode>0.00E+00</c:formatCode>
                <c:ptCount val="25"/>
                <c:pt idx="0">
                  <c:v>320.65467061019535</c:v>
                </c:pt>
                <c:pt idx="1">
                  <c:v>256.02640519943128</c:v>
                </c:pt>
                <c:pt idx="2">
                  <c:v>198.67978828953525</c:v>
                </c:pt>
                <c:pt idx="3">
                  <c:v>183.39967888152972</c:v>
                </c:pt>
                <c:pt idx="4">
                  <c:v>169.77724417358027</c:v>
                </c:pt>
                <c:pt idx="5">
                  <c:v>149.34022236581256</c:v>
                </c:pt>
                <c:pt idx="6">
                  <c:v>131.20640625470082</c:v>
                </c:pt>
                <c:pt idx="7">
                  <c:v>126.37495723701117</c:v>
                </c:pt>
                <c:pt idx="8">
                  <c:v>122.06800391895524</c:v>
                </c:pt>
                <c:pt idx="9">
                  <c:v>115.60813023400037</c:v>
                </c:pt>
                <c:pt idx="10">
                  <c:v>109.88262651853283</c:v>
                </c:pt>
                <c:pt idx="11">
                  <c:v>108.36081957350352</c:v>
                </c:pt>
                <c:pt idx="12">
                  <c:v>107.00795248789028</c:v>
                </c:pt>
                <c:pt idx="13">
                  <c:v>104.99580438580386</c:v>
                </c:pt>
                <c:pt idx="14">
                  <c:v>103.27809419361715</c:v>
                </c:pt>
                <c:pt idx="15">
                  <c:v>102.85909409529053</c:v>
                </c:pt>
                <c:pt idx="16">
                  <c:v>102.5249161584736</c:v>
                </c:pt>
                <c:pt idx="17">
                  <c:v>102.20227267127842</c:v>
                </c:pt>
                <c:pt idx="18">
                  <c:v>102.60916691488764</c:v>
                </c:pt>
                <c:pt idx="19">
                  <c:v>103.11631267671829</c:v>
                </c:pt>
                <c:pt idx="20">
                  <c:v>103.9788477520294</c:v>
                </c:pt>
                <c:pt idx="21">
                  <c:v>107.17825052286182</c:v>
                </c:pt>
                <c:pt idx="22">
                  <c:v>117.91008181661843</c:v>
                </c:pt>
                <c:pt idx="23">
                  <c:v>125.7558130813926</c:v>
                </c:pt>
                <c:pt idx="24">
                  <c:v>138.5624936616322</c:v>
                </c:pt>
              </c:numCache>
            </c:numRef>
          </c:yVal>
          <c:smooth val="1"/>
          <c:extLst>
            <c:ext xmlns:c16="http://schemas.microsoft.com/office/drawing/2014/chart" uri="{C3380CC4-5D6E-409C-BE32-E72D297353CC}">
              <c16:uniqueId val="{00000003-9C9B-434C-9001-CB8844E9DCB6}"/>
            </c:ext>
          </c:extLst>
        </c:ser>
        <c:ser>
          <c:idx val="4"/>
          <c:order val="4"/>
          <c:tx>
            <c:strRef>
              <c:f>'Formula &amp; Calculated Result'!$F$111</c:f>
              <c:strCache>
                <c:ptCount val="1"/>
                <c:pt idx="0">
                  <c:v>Im Zca</c:v>
                </c:pt>
              </c:strCache>
            </c:strRef>
          </c:tx>
          <c:spPr>
            <a:ln w="19050" cap="rnd">
              <a:solidFill>
                <a:srgbClr val="C00000"/>
              </a:solidFill>
              <a:prstDash val="dash"/>
              <a:round/>
            </a:ln>
            <a:effectLst/>
          </c:spPr>
          <c:marker>
            <c:symbol val="none"/>
          </c:marker>
          <c:xVal>
            <c:numRef>
              <c:f>'Formula &amp; Calculated Result'!$A$112:$A$136</c:f>
              <c:numCache>
                <c:formatCode>0.00E+00</c:formatCode>
                <c:ptCount val="25"/>
                <c:pt idx="0">
                  <c:v>1000</c:v>
                </c:pt>
                <c:pt idx="1">
                  <c:v>2000</c:v>
                </c:pt>
                <c:pt idx="2">
                  <c:v>5000</c:v>
                </c:pt>
                <c:pt idx="3">
                  <c:v>7000</c:v>
                </c:pt>
                <c:pt idx="4">
                  <c:v>10000</c:v>
                </c:pt>
                <c:pt idx="5">
                  <c:v>20000</c:v>
                </c:pt>
                <c:pt idx="6">
                  <c:v>50000</c:v>
                </c:pt>
                <c:pt idx="7">
                  <c:v>70000</c:v>
                </c:pt>
                <c:pt idx="8">
                  <c:v>100000</c:v>
                </c:pt>
                <c:pt idx="9">
                  <c:v>200000</c:v>
                </c:pt>
                <c:pt idx="10">
                  <c:v>500000</c:v>
                </c:pt>
                <c:pt idx="11">
                  <c:v>700000</c:v>
                </c:pt>
                <c:pt idx="12">
                  <c:v>1000000</c:v>
                </c:pt>
                <c:pt idx="13">
                  <c:v>2000000</c:v>
                </c:pt>
                <c:pt idx="14">
                  <c:v>5000000</c:v>
                </c:pt>
                <c:pt idx="15">
                  <c:v>7000000</c:v>
                </c:pt>
                <c:pt idx="16">
                  <c:v>10000000</c:v>
                </c:pt>
                <c:pt idx="17">
                  <c:v>20000000</c:v>
                </c:pt>
                <c:pt idx="18">
                  <c:v>50000000</c:v>
                </c:pt>
                <c:pt idx="19">
                  <c:v>70000000</c:v>
                </c:pt>
                <c:pt idx="20">
                  <c:v>100000000</c:v>
                </c:pt>
                <c:pt idx="21">
                  <c:v>200000000</c:v>
                </c:pt>
                <c:pt idx="22">
                  <c:v>500000000</c:v>
                </c:pt>
                <c:pt idx="23">
                  <c:v>700000000</c:v>
                </c:pt>
                <c:pt idx="24">
                  <c:v>1000000000</c:v>
                </c:pt>
              </c:numCache>
            </c:numRef>
          </c:xVal>
          <c:yVal>
            <c:numRef>
              <c:f>'Formula &amp; Calculated Result'!$F$112:$F$136</c:f>
              <c:numCache>
                <c:formatCode>0.00E+00</c:formatCode>
                <c:ptCount val="25"/>
                <c:pt idx="0">
                  <c:v>-222.58501074035303</c:v>
                </c:pt>
                <c:pt idx="1">
                  <c:v>-157.95671345694433</c:v>
                </c:pt>
                <c:pt idx="2">
                  <c:v>-100.61000092905221</c:v>
                </c:pt>
                <c:pt idx="3">
                  <c:v>-85.329827775664199</c:v>
                </c:pt>
                <c:pt idx="4">
                  <c:v>-71.707297449563299</c:v>
                </c:pt>
                <c:pt idx="5">
                  <c:v>-51.269956913950793</c:v>
                </c:pt>
                <c:pt idx="6">
                  <c:v>-33.1351846130895</c:v>
                </c:pt>
                <c:pt idx="7">
                  <c:v>-28.303098130387394</c:v>
                </c:pt>
                <c:pt idx="8">
                  <c:v>-23.995188607043705</c:v>
                </c:pt>
                <c:pt idx="9">
                  <c:v>-17.532127503795916</c:v>
                </c:pt>
                <c:pt idx="10">
                  <c:v>-11.79706091187952</c:v>
                </c:pt>
                <c:pt idx="11">
                  <c:v>-10.268878197875535</c:v>
                </c:pt>
                <c:pt idx="12">
                  <c:v>-8.9064466817197747</c:v>
                </c:pt>
                <c:pt idx="13">
                  <c:v>-6.8624104086992466</c:v>
                </c:pt>
                <c:pt idx="14">
                  <c:v>-5.0489734981930345</c:v>
                </c:pt>
                <c:pt idx="15">
                  <c:v>-4.5661037160158742</c:v>
                </c:pt>
                <c:pt idx="16">
                  <c:v>-4.1360433785045023</c:v>
                </c:pt>
                <c:pt idx="17">
                  <c:v>-3.4931158751647957</c:v>
                </c:pt>
                <c:pt idx="18">
                  <c:v>-2.9328887849115013</c:v>
                </c:pt>
                <c:pt idx="19">
                  <c:v>-2.7900285078321749</c:v>
                </c:pt>
                <c:pt idx="20">
                  <c:v>-2.6695981428924309</c:v>
                </c:pt>
                <c:pt idx="21">
                  <c:v>-2.5223619876405747</c:v>
                </c:pt>
                <c:pt idx="22">
                  <c:v>-2.5362328684143938</c:v>
                </c:pt>
                <c:pt idx="23">
                  <c:v>-2.6335689983779749</c:v>
                </c:pt>
                <c:pt idx="24">
                  <c:v>-2.8311230735643291</c:v>
                </c:pt>
              </c:numCache>
            </c:numRef>
          </c:yVal>
          <c:smooth val="1"/>
          <c:extLst>
            <c:ext xmlns:c16="http://schemas.microsoft.com/office/drawing/2014/chart" uri="{C3380CC4-5D6E-409C-BE32-E72D297353CC}">
              <c16:uniqueId val="{00000004-9C9B-434C-9001-CB8844E9DCB6}"/>
            </c:ext>
          </c:extLst>
        </c:ser>
        <c:ser>
          <c:idx val="5"/>
          <c:order val="5"/>
          <c:tx>
            <c:strRef>
              <c:f>'Formula &amp; Calculated Result'!$G$111</c:f>
              <c:strCache>
                <c:ptCount val="1"/>
                <c:pt idx="0">
                  <c:v>Zca</c:v>
                </c:pt>
              </c:strCache>
            </c:strRef>
          </c:tx>
          <c:spPr>
            <a:ln w="19050" cap="rnd">
              <a:solidFill>
                <a:srgbClr val="FF0000"/>
              </a:solidFill>
              <a:round/>
            </a:ln>
            <a:effectLst/>
          </c:spPr>
          <c:marker>
            <c:symbol val="none"/>
          </c:marker>
          <c:xVal>
            <c:numRef>
              <c:f>'Formula &amp; Calculated Result'!$A$112:$A$136</c:f>
              <c:numCache>
                <c:formatCode>0.00E+00</c:formatCode>
                <c:ptCount val="25"/>
                <c:pt idx="0">
                  <c:v>1000</c:v>
                </c:pt>
                <c:pt idx="1">
                  <c:v>2000</c:v>
                </c:pt>
                <c:pt idx="2">
                  <c:v>5000</c:v>
                </c:pt>
                <c:pt idx="3">
                  <c:v>7000</c:v>
                </c:pt>
                <c:pt idx="4">
                  <c:v>10000</c:v>
                </c:pt>
                <c:pt idx="5">
                  <c:v>20000</c:v>
                </c:pt>
                <c:pt idx="6">
                  <c:v>50000</c:v>
                </c:pt>
                <c:pt idx="7">
                  <c:v>70000</c:v>
                </c:pt>
                <c:pt idx="8">
                  <c:v>100000</c:v>
                </c:pt>
                <c:pt idx="9">
                  <c:v>200000</c:v>
                </c:pt>
                <c:pt idx="10">
                  <c:v>500000</c:v>
                </c:pt>
                <c:pt idx="11">
                  <c:v>700000</c:v>
                </c:pt>
                <c:pt idx="12">
                  <c:v>1000000</c:v>
                </c:pt>
                <c:pt idx="13">
                  <c:v>2000000</c:v>
                </c:pt>
                <c:pt idx="14">
                  <c:v>5000000</c:v>
                </c:pt>
                <c:pt idx="15">
                  <c:v>7000000</c:v>
                </c:pt>
                <c:pt idx="16">
                  <c:v>10000000</c:v>
                </c:pt>
                <c:pt idx="17">
                  <c:v>20000000</c:v>
                </c:pt>
                <c:pt idx="18">
                  <c:v>50000000</c:v>
                </c:pt>
                <c:pt idx="19">
                  <c:v>70000000</c:v>
                </c:pt>
                <c:pt idx="20">
                  <c:v>100000000</c:v>
                </c:pt>
                <c:pt idx="21">
                  <c:v>200000000</c:v>
                </c:pt>
                <c:pt idx="22">
                  <c:v>500000000</c:v>
                </c:pt>
                <c:pt idx="23">
                  <c:v>700000000</c:v>
                </c:pt>
                <c:pt idx="24">
                  <c:v>1000000000</c:v>
                </c:pt>
              </c:numCache>
            </c:numRef>
          </c:xVal>
          <c:yVal>
            <c:numRef>
              <c:f>'Formula &amp; Calculated Result'!$G$112:$G$136</c:f>
              <c:numCache>
                <c:formatCode>General</c:formatCode>
                <c:ptCount val="25"/>
                <c:pt idx="0">
                  <c:v>390.33768046451263</c:v>
                </c:pt>
                <c:pt idx="1">
                  <c:v>300.83191899375072</c:v>
                </c:pt>
                <c:pt idx="2">
                  <c:v>222.70166268287812</c:v>
                </c:pt>
                <c:pt idx="3">
                  <c:v>202.27857455022945</c:v>
                </c:pt>
                <c:pt idx="4">
                  <c:v>184.29934657153737</c:v>
                </c:pt>
                <c:pt idx="5">
                  <c:v>157.89588499460243</c:v>
                </c:pt>
                <c:pt idx="6">
                  <c:v>135.32576067259745</c:v>
                </c:pt>
                <c:pt idx="7">
                  <c:v>129.50557972703237</c:v>
                </c:pt>
                <c:pt idx="8">
                  <c:v>124.4040459834232</c:v>
                </c:pt>
                <c:pt idx="9">
                  <c:v>116.92995882583277</c:v>
                </c:pt>
                <c:pt idx="10">
                  <c:v>110.51408171255811</c:v>
                </c:pt>
                <c:pt idx="11">
                  <c:v>108.84630024986696</c:v>
                </c:pt>
                <c:pt idx="12">
                  <c:v>107.37796183642573</c:v>
                </c:pt>
                <c:pt idx="13">
                  <c:v>105.21982520057432</c:v>
                </c:pt>
                <c:pt idx="14">
                  <c:v>103.40143554927617</c:v>
                </c:pt>
                <c:pt idx="15">
                  <c:v>102.9603930705844</c:v>
                </c:pt>
                <c:pt idx="16">
                  <c:v>102.60831003447485</c:v>
                </c:pt>
                <c:pt idx="17">
                  <c:v>102.26194990167004</c:v>
                </c:pt>
                <c:pt idx="18">
                  <c:v>102.65107389400235</c:v>
                </c:pt>
                <c:pt idx="19">
                  <c:v>103.15405081293342</c:v>
                </c:pt>
                <c:pt idx="20">
                  <c:v>104.01311231803538</c:v>
                </c:pt>
                <c:pt idx="21">
                  <c:v>107.20792738943339</c:v>
                </c:pt>
                <c:pt idx="22">
                  <c:v>117.93735570702134</c:v>
                </c:pt>
                <c:pt idx="23">
                  <c:v>125.78338606283174</c:v>
                </c:pt>
                <c:pt idx="24">
                  <c:v>138.59141354206449</c:v>
                </c:pt>
              </c:numCache>
            </c:numRef>
          </c:yVal>
          <c:smooth val="1"/>
          <c:extLst>
            <c:ext xmlns:c16="http://schemas.microsoft.com/office/drawing/2014/chart" uri="{C3380CC4-5D6E-409C-BE32-E72D297353CC}">
              <c16:uniqueId val="{00000005-9C9B-434C-9001-CB8844E9DCB6}"/>
            </c:ext>
          </c:extLst>
        </c:ser>
        <c:dLbls>
          <c:showLegendKey val="0"/>
          <c:showVal val="0"/>
          <c:showCatName val="0"/>
          <c:showSerName val="0"/>
          <c:showPercent val="0"/>
          <c:showBubbleSize val="0"/>
        </c:dLbls>
        <c:axId val="577627792"/>
        <c:axId val="577629392"/>
      </c:scatterChart>
      <c:valAx>
        <c:axId val="577627792"/>
        <c:scaling>
          <c:logBase val="10"/>
          <c:orientation val="minMax"/>
          <c:max val="1000000000"/>
          <c:min val="1000"/>
        </c:scaling>
        <c:delete val="0"/>
        <c:axPos val="b"/>
        <c:majorGridlines>
          <c:spPr>
            <a:ln w="9525" cap="flat" cmpd="sng" algn="ctr">
              <a:solidFill>
                <a:schemeClr val="tx1"/>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ja-JP" sz="1050">
                    <a:solidFill>
                      <a:sysClr val="windowText" lastClr="000000"/>
                    </a:solidFill>
                    <a:latin typeface="Arial" panose="020B0604020202020204" pitchFamily="34" charset="0"/>
                    <a:cs typeface="Arial" panose="020B0604020202020204" pitchFamily="34" charset="0"/>
                  </a:rPr>
                  <a:t>Frequency f (Hz)</a:t>
                </a:r>
                <a:endParaRPr lang="ja-JP" sz="105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1008534997147722"/>
              <c:y val="0.93711126372728448"/>
            </c:manualLayout>
          </c:layout>
          <c:overlay val="0"/>
          <c:spPr>
            <a:no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E+00" sourceLinked="0"/>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7629392"/>
        <c:crossesAt val="-200"/>
        <c:crossBetween val="midCat"/>
      </c:valAx>
      <c:valAx>
        <c:axId val="577629392"/>
        <c:scaling>
          <c:orientation val="minMax"/>
          <c:max val="400"/>
          <c:min val="-20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r>
                  <a:rPr lang="en-US" altLang="ja-JP">
                    <a:solidFill>
                      <a:schemeClr val="tx1"/>
                    </a:solidFill>
                    <a:latin typeface="Arial" panose="020B0604020202020204" pitchFamily="34" charset="0"/>
                    <a:cs typeface="Arial" panose="020B0604020202020204" pitchFamily="34" charset="0"/>
                  </a:rPr>
                  <a:t>Characteristic Impedance Zc (Ohm)</a:t>
                </a:r>
                <a:endParaRPr lang="ja-JP">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_ ;[Red]\-#,##0\ "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7627792"/>
        <c:crossesAt val="1000"/>
        <c:crossBetween val="midCat"/>
      </c:valAx>
      <c:spPr>
        <a:noFill/>
        <a:ln w="15875">
          <a:solidFill>
            <a:schemeClr val="tx1"/>
          </a:solidFill>
        </a:ln>
        <a:effectLst/>
      </c:spPr>
    </c:plotArea>
    <c:legend>
      <c:legendPos val="r"/>
      <c:layout>
        <c:manualLayout>
          <c:xMode val="edge"/>
          <c:yMode val="edge"/>
          <c:x val="0.67014261982889867"/>
          <c:y val="0.13070928157466083"/>
          <c:w val="0.17431745255080464"/>
          <c:h val="0.26585178345996802"/>
        </c:manualLayout>
      </c:layout>
      <c:overlay val="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8454645309426"/>
          <c:y val="0.19896851404575566"/>
          <c:w val="0.84543863566513644"/>
          <c:h val="0.75432699364591815"/>
        </c:manualLayout>
      </c:layout>
      <c:scatterChart>
        <c:scatterStyle val="smoothMarker"/>
        <c:varyColors val="0"/>
        <c:ser>
          <c:idx val="0"/>
          <c:order val="0"/>
          <c:tx>
            <c:v>Real Zca (X)+j Im Zca (Y)</c:v>
          </c:tx>
          <c:spPr>
            <a:ln w="25400" cap="rnd">
              <a:solidFill>
                <a:srgbClr val="FF0000"/>
              </a:solidFill>
              <a:round/>
            </a:ln>
            <a:effectLst/>
          </c:spPr>
          <c:marker>
            <c:symbol val="none"/>
          </c:marker>
          <c:xVal>
            <c:numRef>
              <c:f>'Formula &amp; Calculated Result'!$E$112:$E$136</c:f>
              <c:numCache>
                <c:formatCode>0.00E+00</c:formatCode>
                <c:ptCount val="25"/>
                <c:pt idx="0">
                  <c:v>320.65467061019535</c:v>
                </c:pt>
                <c:pt idx="1">
                  <c:v>256.02640519943128</c:v>
                </c:pt>
                <c:pt idx="2">
                  <c:v>198.67978828953525</c:v>
                </c:pt>
                <c:pt idx="3">
                  <c:v>183.39967888152972</c:v>
                </c:pt>
                <c:pt idx="4">
                  <c:v>169.77724417358027</c:v>
                </c:pt>
                <c:pt idx="5">
                  <c:v>149.34022236581256</c:v>
                </c:pt>
                <c:pt idx="6">
                  <c:v>131.20640625470082</c:v>
                </c:pt>
                <c:pt idx="7">
                  <c:v>126.37495723701117</c:v>
                </c:pt>
                <c:pt idx="8">
                  <c:v>122.06800391895524</c:v>
                </c:pt>
                <c:pt idx="9">
                  <c:v>115.60813023400037</c:v>
                </c:pt>
                <c:pt idx="10">
                  <c:v>109.88262651853283</c:v>
                </c:pt>
                <c:pt idx="11">
                  <c:v>108.36081957350352</c:v>
                </c:pt>
                <c:pt idx="12">
                  <c:v>107.00795248789028</c:v>
                </c:pt>
                <c:pt idx="13">
                  <c:v>104.99580438580386</c:v>
                </c:pt>
                <c:pt idx="14">
                  <c:v>103.27809419361715</c:v>
                </c:pt>
                <c:pt idx="15">
                  <c:v>102.85909409529053</c:v>
                </c:pt>
                <c:pt idx="16">
                  <c:v>102.5249161584736</c:v>
                </c:pt>
                <c:pt idx="17">
                  <c:v>102.20227267127842</c:v>
                </c:pt>
                <c:pt idx="18">
                  <c:v>102.60916691488764</c:v>
                </c:pt>
                <c:pt idx="19">
                  <c:v>103.11631267671829</c:v>
                </c:pt>
                <c:pt idx="20">
                  <c:v>103.9788477520294</c:v>
                </c:pt>
                <c:pt idx="21">
                  <c:v>107.17825052286182</c:v>
                </c:pt>
                <c:pt idx="22">
                  <c:v>117.91008181661843</c:v>
                </c:pt>
                <c:pt idx="23">
                  <c:v>125.7558130813926</c:v>
                </c:pt>
                <c:pt idx="24">
                  <c:v>138.5624936616322</c:v>
                </c:pt>
              </c:numCache>
            </c:numRef>
          </c:xVal>
          <c:yVal>
            <c:numRef>
              <c:f>'Formula &amp; Calculated Result'!$F$112:$F$136</c:f>
              <c:numCache>
                <c:formatCode>0.00E+00</c:formatCode>
                <c:ptCount val="25"/>
                <c:pt idx="0">
                  <c:v>-222.58501074035303</c:v>
                </c:pt>
                <c:pt idx="1">
                  <c:v>-157.95671345694433</c:v>
                </c:pt>
                <c:pt idx="2">
                  <c:v>-100.61000092905221</c:v>
                </c:pt>
                <c:pt idx="3">
                  <c:v>-85.329827775664199</c:v>
                </c:pt>
                <c:pt idx="4">
                  <c:v>-71.707297449563299</c:v>
                </c:pt>
                <c:pt idx="5">
                  <c:v>-51.269956913950793</c:v>
                </c:pt>
                <c:pt idx="6">
                  <c:v>-33.1351846130895</c:v>
                </c:pt>
                <c:pt idx="7">
                  <c:v>-28.303098130387394</c:v>
                </c:pt>
                <c:pt idx="8">
                  <c:v>-23.995188607043705</c:v>
                </c:pt>
                <c:pt idx="9">
                  <c:v>-17.532127503795916</c:v>
                </c:pt>
                <c:pt idx="10">
                  <c:v>-11.79706091187952</c:v>
                </c:pt>
                <c:pt idx="11">
                  <c:v>-10.268878197875535</c:v>
                </c:pt>
                <c:pt idx="12">
                  <c:v>-8.9064466817197747</c:v>
                </c:pt>
                <c:pt idx="13">
                  <c:v>-6.8624104086992466</c:v>
                </c:pt>
                <c:pt idx="14">
                  <c:v>-5.0489734981930345</c:v>
                </c:pt>
                <c:pt idx="15">
                  <c:v>-4.5661037160158742</c:v>
                </c:pt>
                <c:pt idx="16">
                  <c:v>-4.1360433785045023</c:v>
                </c:pt>
                <c:pt idx="17">
                  <c:v>-3.4931158751647957</c:v>
                </c:pt>
                <c:pt idx="18">
                  <c:v>-2.9328887849115013</c:v>
                </c:pt>
                <c:pt idx="19">
                  <c:v>-2.7900285078321749</c:v>
                </c:pt>
                <c:pt idx="20">
                  <c:v>-2.6695981428924309</c:v>
                </c:pt>
                <c:pt idx="21">
                  <c:v>-2.5223619876405747</c:v>
                </c:pt>
                <c:pt idx="22">
                  <c:v>-2.5362328684143938</c:v>
                </c:pt>
                <c:pt idx="23">
                  <c:v>-2.6335689983779749</c:v>
                </c:pt>
                <c:pt idx="24">
                  <c:v>-2.8311230735643291</c:v>
                </c:pt>
              </c:numCache>
            </c:numRef>
          </c:yVal>
          <c:smooth val="1"/>
          <c:extLst>
            <c:ext xmlns:c16="http://schemas.microsoft.com/office/drawing/2014/chart" uri="{C3380CC4-5D6E-409C-BE32-E72D297353CC}">
              <c16:uniqueId val="{00000000-7115-4BCA-9946-37A57C314D51}"/>
            </c:ext>
          </c:extLst>
        </c:ser>
        <c:ser>
          <c:idx val="1"/>
          <c:order val="1"/>
          <c:tx>
            <c:v>Real Zci (X)+j Im Zci (Y)</c:v>
          </c:tx>
          <c:spPr>
            <a:ln w="31750" cap="rnd">
              <a:solidFill>
                <a:srgbClr val="0070C0"/>
              </a:solidFill>
              <a:prstDash val="sysDash"/>
              <a:round/>
            </a:ln>
            <a:effectLst/>
          </c:spPr>
          <c:marker>
            <c:symbol val="none"/>
          </c:marker>
          <c:xVal>
            <c:numRef>
              <c:f>'Formula &amp; Calculated Result'!$B$112:$B$136</c:f>
              <c:numCache>
                <c:formatCode>0.00E+00</c:formatCode>
                <c:ptCount val="25"/>
                <c:pt idx="0">
                  <c:v>299.05275858121036</c:v>
                </c:pt>
                <c:pt idx="1">
                  <c:v>240.75155540666259</c:v>
                </c:pt>
                <c:pt idx="2">
                  <c:v>189.01909985928819</c:v>
                </c:pt>
                <c:pt idx="3">
                  <c:v>175.2348709981801</c:v>
                </c:pt>
                <c:pt idx="4">
                  <c:v>162.94600916562513</c:v>
                </c:pt>
                <c:pt idx="5">
                  <c:v>144.50954992964409</c:v>
                </c:pt>
                <c:pt idx="6">
                  <c:v>128.15031108133252</c:v>
                </c:pt>
                <c:pt idx="7">
                  <c:v>123.79135518231948</c:v>
                </c:pt>
                <c:pt idx="8">
                  <c:v>119.90527585812103</c:v>
                </c:pt>
                <c:pt idx="9">
                  <c:v>114.07515554066626</c:v>
                </c:pt>
                <c:pt idx="10">
                  <c:v>108.90190998592882</c:v>
                </c:pt>
                <c:pt idx="11">
                  <c:v>107.52348709981801</c:v>
                </c:pt>
                <c:pt idx="12">
                  <c:v>106.29460091656252</c:v>
                </c:pt>
                <c:pt idx="13">
                  <c:v>104.45095499296441</c:v>
                </c:pt>
                <c:pt idx="14">
                  <c:v>102.81503110813325</c:v>
                </c:pt>
                <c:pt idx="15">
                  <c:v>102.37913551823195</c:v>
                </c:pt>
                <c:pt idx="16">
                  <c:v>101.9905275858121</c:v>
                </c:pt>
                <c:pt idx="17">
                  <c:v>101.40751555406662</c:v>
                </c:pt>
                <c:pt idx="18">
                  <c:v>100.89019099859289</c:v>
                </c:pt>
                <c:pt idx="19">
                  <c:v>100.7523487099818</c:v>
                </c:pt>
                <c:pt idx="20">
                  <c:v>100.62946009165626</c:v>
                </c:pt>
                <c:pt idx="21">
                  <c:v>100.44509549929644</c:v>
                </c:pt>
                <c:pt idx="22">
                  <c:v>100.28150311081332</c:v>
                </c:pt>
                <c:pt idx="23">
                  <c:v>100.2379135518232</c:v>
                </c:pt>
                <c:pt idx="24">
                  <c:v>100.19905275858122</c:v>
                </c:pt>
              </c:numCache>
            </c:numRef>
          </c:xVal>
          <c:yVal>
            <c:numRef>
              <c:f>'Formula &amp; Calculated Result'!$C$112:$C$136</c:f>
              <c:numCache>
                <c:formatCode>0.00E+00</c:formatCode>
                <c:ptCount val="25"/>
                <c:pt idx="0">
                  <c:v>-201.0007208148759</c:v>
                </c:pt>
                <c:pt idx="1">
                  <c:v>-142.69951764032814</c:v>
                </c:pt>
                <c:pt idx="2">
                  <c:v>-90.967062092953739</c:v>
                </c:pt>
                <c:pt idx="3">
                  <c:v>-77.182833231845649</c:v>
                </c:pt>
                <c:pt idx="4">
                  <c:v>-64.893971399290677</c:v>
                </c:pt>
                <c:pt idx="5">
                  <c:v>-46.457512163309651</c:v>
                </c:pt>
                <c:pt idx="6">
                  <c:v>-30.098273314998075</c:v>
                </c:pt>
                <c:pt idx="7">
                  <c:v>-25.739317415985035</c:v>
                </c:pt>
                <c:pt idx="8">
                  <c:v>-21.853238091786586</c:v>
                </c:pt>
                <c:pt idx="9">
                  <c:v>-16.023117774331816</c:v>
                </c:pt>
                <c:pt idx="10">
                  <c:v>-10.849872219594381</c:v>
                </c:pt>
                <c:pt idx="11">
                  <c:v>-9.4714493334835694</c:v>
                </c:pt>
                <c:pt idx="12">
                  <c:v>-8.2425631502280723</c:v>
                </c:pt>
                <c:pt idx="13">
                  <c:v>-6.3989172266299681</c:v>
                </c:pt>
                <c:pt idx="14">
                  <c:v>-4.7629933417988104</c:v>
                </c:pt>
                <c:pt idx="15">
                  <c:v>-4.3270977518975036</c:v>
                </c:pt>
                <c:pt idx="16">
                  <c:v>-3.9384898194776587</c:v>
                </c:pt>
                <c:pt idx="17">
                  <c:v>-3.355477787732176</c:v>
                </c:pt>
                <c:pt idx="18">
                  <c:v>-2.8381532322584411</c:v>
                </c:pt>
                <c:pt idx="19">
                  <c:v>-2.7003109436473585</c:v>
                </c:pt>
                <c:pt idx="20">
                  <c:v>-2.5774223253218116</c:v>
                </c:pt>
                <c:pt idx="21">
                  <c:v>-2.3930577329619984</c:v>
                </c:pt>
                <c:pt idx="22">
                  <c:v>-2.2294653444788741</c:v>
                </c:pt>
                <c:pt idx="23">
                  <c:v>-2.1858757854887534</c:v>
                </c:pt>
                <c:pt idx="24">
                  <c:v>-2.1470149922467732</c:v>
                </c:pt>
              </c:numCache>
            </c:numRef>
          </c:yVal>
          <c:smooth val="1"/>
          <c:extLst>
            <c:ext xmlns:c16="http://schemas.microsoft.com/office/drawing/2014/chart" uri="{C3380CC4-5D6E-409C-BE32-E72D297353CC}">
              <c16:uniqueId val="{00000001-7115-4BCA-9946-37A57C314D51}"/>
            </c:ext>
          </c:extLst>
        </c:ser>
        <c:dLbls>
          <c:showLegendKey val="0"/>
          <c:showVal val="0"/>
          <c:showCatName val="0"/>
          <c:showSerName val="0"/>
          <c:showPercent val="0"/>
          <c:showBubbleSize val="0"/>
        </c:dLbls>
        <c:axId val="480281784"/>
        <c:axId val="480280504"/>
      </c:scatterChart>
      <c:valAx>
        <c:axId val="480281784"/>
        <c:scaling>
          <c:orientation val="minMax"/>
          <c:min val="100"/>
        </c:scaling>
        <c:delete val="0"/>
        <c:axPos val="b"/>
        <c:majorGridlines>
          <c:spPr>
            <a:ln w="9525" cap="flat" cmpd="sng" algn="ctr">
              <a:solidFill>
                <a:schemeClr val="tx1"/>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r>
                  <a:rPr lang="en-US" altLang="ja-JP">
                    <a:solidFill>
                      <a:schemeClr val="tx1"/>
                    </a:solidFill>
                  </a:rPr>
                  <a:t>Real Zc (X) (Ohm)</a:t>
                </a:r>
              </a:p>
            </c:rich>
          </c:tx>
          <c:layout>
            <c:manualLayout>
              <c:xMode val="edge"/>
              <c:yMode val="edge"/>
              <c:x val="0.46975424197938181"/>
              <c:y val="0.1105283790366208"/>
            </c:manualLayout>
          </c:layout>
          <c:overlay val="0"/>
          <c:spPr>
            <a:noFill/>
            <a:ln>
              <a:noFill/>
            </a:ln>
            <a:effectLst/>
          </c:spPr>
          <c:txPr>
            <a:bodyPr rot="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_);[Red]\(#,##0\)" sourceLinked="0"/>
        <c:majorTickMark val="none"/>
        <c:minorTickMark val="none"/>
        <c:tickLblPos val="high"/>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80280504"/>
        <c:crosses val="autoZero"/>
        <c:crossBetween val="midCat"/>
      </c:valAx>
      <c:valAx>
        <c:axId val="480280504"/>
        <c:scaling>
          <c:orientation val="minMax"/>
        </c:scaling>
        <c:delete val="0"/>
        <c:axPos val="l"/>
        <c:majorGridlines>
          <c:spPr>
            <a:ln w="9525" cap="flat" cmpd="sng" algn="ctr">
              <a:solidFill>
                <a:schemeClr val="tx1"/>
              </a:solidFill>
              <a:round/>
            </a:ln>
            <a:effectLst/>
          </c:spPr>
        </c:majorGridlines>
        <c:minorGridlines>
          <c:spPr>
            <a:ln w="9525" cap="flat" cmpd="sng" algn="ctr">
              <a:solidFill>
                <a:schemeClr val="bg1">
                  <a:lumMod val="75000"/>
                </a:schemeClr>
              </a:solidFill>
              <a:round/>
            </a:ln>
            <a:effectLst/>
          </c:spPr>
        </c:minorGridlines>
        <c:title>
          <c:tx>
            <c:rich>
              <a:bodyPr rot="-54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r>
                  <a:rPr lang="en-US" altLang="ja-JP">
                    <a:solidFill>
                      <a:schemeClr val="tx1"/>
                    </a:solidFill>
                  </a:rPr>
                  <a:t>Im Zc (Y) (Ohm)</a:t>
                </a:r>
                <a:endParaRPr lang="ja-JP">
                  <a:solidFill>
                    <a:schemeClr val="tx1"/>
                  </a:solidFill>
                </a:endParaRPr>
              </a:p>
            </c:rich>
          </c:tx>
          <c:overlay val="0"/>
          <c:spPr>
            <a:noFill/>
            <a:ln>
              <a:noFill/>
            </a:ln>
            <a:effectLst/>
          </c:spPr>
          <c:txPr>
            <a:bodyPr rot="-54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_ ;[Red]\-#,##0\ "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0281784"/>
        <c:crosses val="autoZero"/>
        <c:crossBetween val="midCat"/>
      </c:valAx>
      <c:spPr>
        <a:noFill/>
        <a:ln w="19050">
          <a:solidFill>
            <a:schemeClr val="tx1"/>
          </a:solidFill>
        </a:ln>
        <a:effectLst/>
      </c:spPr>
    </c:plotArea>
    <c:legend>
      <c:legendPos val="r"/>
      <c:layout>
        <c:manualLayout>
          <c:xMode val="edge"/>
          <c:yMode val="edge"/>
          <c:x val="0.16504466047517982"/>
          <c:y val="0.56146495093053017"/>
          <c:w val="0.31252181677123181"/>
          <c:h val="0.15053589847256008"/>
        </c:manualLayout>
      </c:layout>
      <c:overlay val="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106680</xdr:rowOff>
    </xdr:from>
    <xdr:to>
      <xdr:col>7</xdr:col>
      <xdr:colOff>0</xdr:colOff>
      <xdr:row>9</xdr:row>
      <xdr:rowOff>0</xdr:rowOff>
    </xdr:to>
    <xdr:sp macro="" textlink="">
      <xdr:nvSpPr>
        <xdr:cNvPr id="2" name="Text Box 8">
          <a:extLst>
            <a:ext uri="{FF2B5EF4-FFF2-40B4-BE49-F238E27FC236}">
              <a16:creationId xmlns:a16="http://schemas.microsoft.com/office/drawing/2014/main" id="{00000000-0008-0000-0000-000002000000}"/>
            </a:ext>
          </a:extLst>
        </xdr:cNvPr>
        <xdr:cNvSpPr txBox="1">
          <a:spLocks noChangeArrowheads="1"/>
        </xdr:cNvSpPr>
      </xdr:nvSpPr>
      <xdr:spPr bwMode="auto">
        <a:xfrm>
          <a:off x="190500" y="802005"/>
          <a:ext cx="5962650" cy="70294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The document to which this cover statement is attached is submitted to a Formulating Group or sub-element thereof of the Telecommunications Industry Association (TIA) in accordance with the provisions of Sections 3.3.2 inclusive of the TIA Engineering Committee Operating Procedures (ECOP) dated July 7, 2019, all of which provisions are hereby incorporated by reference.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161925</xdr:colOff>
      <xdr:row>17</xdr:row>
      <xdr:rowOff>200025</xdr:rowOff>
    </xdr:from>
    <xdr:to>
      <xdr:col>16</xdr:col>
      <xdr:colOff>638175</xdr:colOff>
      <xdr:row>35</xdr:row>
      <xdr:rowOff>200025</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1</xdr:row>
      <xdr:rowOff>0</xdr:rowOff>
    </xdr:from>
    <xdr:to>
      <xdr:col>15</xdr:col>
      <xdr:colOff>323850</xdr:colOff>
      <xdr:row>17</xdr:row>
      <xdr:rowOff>47625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85725</xdr:colOff>
      <xdr:row>30</xdr:row>
      <xdr:rowOff>28575</xdr:rowOff>
    </xdr:from>
    <xdr:to>
      <xdr:col>15</xdr:col>
      <xdr:colOff>47625</xdr:colOff>
      <xdr:row>32</xdr:row>
      <xdr:rowOff>171450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896475" y="7172325"/>
          <a:ext cx="4514850" cy="6191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latin typeface="Arial" panose="020B0604020202020204" pitchFamily="34" charset="0"/>
              <a:cs typeface="Arial" panose="020B0604020202020204" pitchFamily="34" charset="0"/>
            </a:rPr>
            <a:t>(A) UTP Cat5e PVC, PE, 0.525A, Aged 40 degC 90%R/H, 2 weeks</a:t>
          </a:r>
        </a:p>
        <a:p>
          <a:pPr algn="l"/>
          <a:r>
            <a:rPr kumimoji="1" lang="en-US" altLang="ja-JP" sz="1050">
              <a:solidFill>
                <a:sysClr val="windowText" lastClr="000000"/>
              </a:solidFill>
              <a:latin typeface="Arial" panose="020B0604020202020204" pitchFamily="34" charset="0"/>
              <a:cs typeface="Arial" panose="020B0604020202020204" pitchFamily="34" charset="0"/>
            </a:rPr>
            <a:t>(B) UTP Cat5e,PVC, PE, 7/0.208A, Aged 40degC 90%R/H, 2 weeks</a:t>
          </a:r>
        </a:p>
        <a:p>
          <a:pPr algn="l"/>
          <a:r>
            <a:rPr kumimoji="1" lang="en-US" altLang="ja-JP" sz="1050">
              <a:solidFill>
                <a:sysClr val="windowText" lastClr="000000"/>
              </a:solidFill>
              <a:latin typeface="Arial" panose="020B0604020202020204" pitchFamily="34" charset="0"/>
              <a:cs typeface="Arial" panose="020B0604020202020204" pitchFamily="34" charset="0"/>
            </a:rPr>
            <a:t>(C) Quabbin Cat5 PVC, HDPE 7/32AWG UTP, Stored</a:t>
          </a:r>
          <a:r>
            <a:rPr kumimoji="1" lang="en-US" altLang="ja-JP" sz="1050" baseline="0">
              <a:solidFill>
                <a:sysClr val="windowText" lastClr="000000"/>
              </a:solidFill>
              <a:latin typeface="Arial" panose="020B0604020202020204" pitchFamily="34" charset="0"/>
              <a:cs typeface="Arial" panose="020B0604020202020204" pitchFamily="34" charset="0"/>
            </a:rPr>
            <a:t> garage 23 Years</a:t>
          </a:r>
          <a:endParaRPr kumimoji="1" lang="ja-JP" altLang="en-US" sz="1050">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10</xdr:col>
      <xdr:colOff>0</xdr:colOff>
      <xdr:row>31</xdr:row>
      <xdr:rowOff>47625</xdr:rowOff>
    </xdr:from>
    <xdr:ext cx="65" cy="17222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582275" y="7429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600075</xdr:colOff>
      <xdr:row>33</xdr:row>
      <xdr:rowOff>28574</xdr:rowOff>
    </xdr:from>
    <xdr:ext cx="2657475" cy="1123951"/>
    <mc:AlternateContent xmlns:mc="http://schemas.openxmlformats.org/markup-compatibility/2006" xmlns:a14="http://schemas.microsoft.com/office/drawing/2010/main">
      <mc:Choice Requires="a1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857625" y="7886699"/>
              <a:ext cx="2657475" cy="11239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en-US" altLang="ja-JP" sz="2000">
                  <a:latin typeface="Cambria Math" panose="02040503050406030204" pitchFamily="18" charset="0"/>
                  <a:ea typeface="Cambria Math" panose="02040503050406030204" pitchFamily="18" charset="0"/>
                </a:rPr>
                <a:t>Tan</a:t>
              </a:r>
              <a:r>
                <a:rPr kumimoji="1" lang="el-GR" altLang="ja-JP" sz="2000">
                  <a:latin typeface="Cambria Math" panose="02040503050406030204" pitchFamily="18" charset="0"/>
                  <a:ea typeface="Cambria Math" panose="02040503050406030204" pitchFamily="18" charset="0"/>
                  <a:cs typeface="Arial" panose="020B0604020202020204" pitchFamily="34" charset="0"/>
                </a:rPr>
                <a:t>δ</a:t>
              </a:r>
              <a14:m>
                <m:oMath xmlns:m="http://schemas.openxmlformats.org/officeDocument/2006/math">
                  <m:r>
                    <a:rPr kumimoji="1" lang="en-US" altLang="ja-JP" sz="2000" i="1">
                      <a:latin typeface="Cambria Math" panose="02040503050406030204" pitchFamily="18" charset="0"/>
                      <a:ea typeface="Cambria Math" panose="02040503050406030204" pitchFamily="18" charset="0"/>
                    </a:rPr>
                    <m:t>=</m:t>
                  </m:r>
                  <m:f>
                    <m:fPr>
                      <m:ctrlPr>
                        <a:rPr kumimoji="1" lang="en-US" altLang="ja-JP" sz="2000" i="1">
                          <a:latin typeface="Cambria Math" panose="02040503050406030204" pitchFamily="18" charset="0"/>
                          <a:ea typeface="Cambria Math" panose="02040503050406030204" pitchFamily="18" charset="0"/>
                        </a:rPr>
                      </m:ctrlPr>
                    </m:fPr>
                    <m:num>
                      <m:r>
                        <a:rPr kumimoji="1" lang="en-US" altLang="ja-JP" sz="2000" b="0" i="1">
                          <a:latin typeface="Cambria Math" panose="02040503050406030204" pitchFamily="18" charset="0"/>
                          <a:ea typeface="Cambria Math" panose="02040503050406030204" pitchFamily="18" charset="0"/>
                        </a:rPr>
                        <m:t>𝐴</m:t>
                      </m:r>
                    </m:num>
                    <m:den>
                      <m:r>
                        <m:rPr>
                          <m:sty m:val="p"/>
                        </m:rPr>
                        <a:rPr kumimoji="1" lang="el-GR" altLang="ja-JP" sz="2000" b="0" i="1">
                          <a:latin typeface="Cambria Math" panose="02040503050406030204" pitchFamily="18" charset="0"/>
                          <a:ea typeface="Cambria Math" panose="02040503050406030204" pitchFamily="18" charset="0"/>
                        </a:rPr>
                        <m:t>π</m:t>
                      </m:r>
                      <m:r>
                        <a:rPr kumimoji="1" lang="en-US" altLang="ja-JP" sz="2000" b="0" i="1">
                          <a:latin typeface="Cambria Math" panose="02040503050406030204" pitchFamily="18" charset="0"/>
                          <a:ea typeface="Cambria Math" panose="02040503050406030204" pitchFamily="18" charset="0"/>
                        </a:rPr>
                        <m:t>∗</m:t>
                      </m:r>
                      <m:r>
                        <a:rPr kumimoji="1" lang="en-US" altLang="ja-JP" sz="2000" b="0" i="1">
                          <a:latin typeface="Cambria Math" panose="02040503050406030204" pitchFamily="18" charset="0"/>
                          <a:ea typeface="Cambria Math" panose="02040503050406030204" pitchFamily="18" charset="0"/>
                        </a:rPr>
                        <m:t>𝐶</m:t>
                      </m:r>
                      <m:r>
                        <a:rPr kumimoji="1" lang="en-US" altLang="ja-JP" sz="2000" b="0" i="1">
                          <a:latin typeface="Cambria Math" panose="02040503050406030204" pitchFamily="18" charset="0"/>
                          <a:ea typeface="Cambria Math" panose="02040503050406030204" pitchFamily="18" charset="0"/>
                        </a:rPr>
                        <m:t>∗</m:t>
                      </m:r>
                      <m:r>
                        <a:rPr kumimoji="1" lang="en-US" altLang="ja-JP" sz="2000" b="0" i="1">
                          <a:latin typeface="Cambria Math" panose="02040503050406030204" pitchFamily="18" charset="0"/>
                          <a:ea typeface="Cambria Math" panose="02040503050406030204" pitchFamily="18" charset="0"/>
                        </a:rPr>
                        <m:t>𝑍𝑐</m:t>
                      </m:r>
                    </m:den>
                  </m:f>
                </m:oMath>
              </a14:m>
              <a:endParaRPr kumimoji="1" lang="en-US" altLang="ja-JP" sz="2000">
                <a:latin typeface="Cambria Math" panose="02040503050406030204" pitchFamily="18" charset="0"/>
              </a:endParaRPr>
            </a:p>
            <a:p>
              <a:endParaRPr kumimoji="1" lang="en-US" altLang="ja-JP" sz="1050">
                <a:latin typeface="Cambria Math" panose="02040503050406030204" pitchFamily="18" charset="0"/>
              </a:endParaRPr>
            </a:p>
            <a:p>
              <a:r>
                <a:rPr kumimoji="1" lang="en-US" altLang="ja-JP" sz="2000">
                  <a:latin typeface="Cambria Math" panose="02040503050406030204" pitchFamily="18" charset="0"/>
                  <a:cs typeface="Arial" panose="020B0604020202020204" pitchFamily="34" charset="0"/>
                </a:rPr>
                <a:t>ρ=</a:t>
              </a:r>
              <a14:m>
                <m:oMath xmlns:m="http://schemas.openxmlformats.org/officeDocument/2006/math">
                  <m:f>
                    <m:fPr>
                      <m:ctrlPr>
                        <a:rPr kumimoji="1" lang="en-US" altLang="ja-JP" sz="2000" i="1">
                          <a:latin typeface="Cambria Math" panose="02040503050406030204" pitchFamily="18" charset="0"/>
                          <a:cs typeface="Arial" panose="020B0604020202020204" pitchFamily="34" charset="0"/>
                        </a:rPr>
                      </m:ctrlPr>
                    </m:fPr>
                    <m:num>
                      <m:r>
                        <a:rPr kumimoji="1" lang="en-US" altLang="ja-JP" sz="2000" b="0" i="1">
                          <a:latin typeface="Cambria Math" panose="02040503050406030204" pitchFamily="18" charset="0"/>
                          <a:cs typeface="Arial" panose="020B0604020202020204" pitchFamily="34" charset="0"/>
                        </a:rPr>
                        <m:t>(</m:t>
                      </m:r>
                      <m:sSup>
                        <m:sSupPr>
                          <m:ctrlPr>
                            <a:rPr kumimoji="1" lang="en-US" altLang="ja-JP" sz="2000" b="0" i="1">
                              <a:latin typeface="Cambria Math" panose="02040503050406030204" pitchFamily="18" charset="0"/>
                              <a:cs typeface="Arial" panose="020B0604020202020204" pitchFamily="34" charset="0"/>
                            </a:rPr>
                          </m:ctrlPr>
                        </m:sSupPr>
                        <m:e>
                          <m:r>
                            <a:rPr kumimoji="1" lang="en-US" altLang="ja-JP" sz="2000" b="0" i="1">
                              <a:latin typeface="Cambria Math" panose="02040503050406030204" pitchFamily="18" charset="0"/>
                              <a:cs typeface="Arial" panose="020B0604020202020204" pitchFamily="34" charset="0"/>
                            </a:rPr>
                            <m:t>𝐵𝑑𝑍𝑐</m:t>
                          </m:r>
                          <m:r>
                            <a:rPr kumimoji="1" lang="en-US" altLang="ja-JP" sz="2000" b="0" i="1">
                              <a:latin typeface="Cambria Math" panose="02040503050406030204" pitchFamily="18" charset="0"/>
                              <a:cs typeface="Arial" panose="020B0604020202020204" pitchFamily="34" charset="0"/>
                            </a:rPr>
                            <m:t>)</m:t>
                          </m:r>
                        </m:e>
                        <m:sup>
                          <m:r>
                            <a:rPr kumimoji="1" lang="en-US" altLang="ja-JP" sz="2000" b="0" i="1">
                              <a:latin typeface="Cambria Math" panose="02040503050406030204" pitchFamily="18" charset="0"/>
                              <a:cs typeface="Arial" panose="020B0604020202020204" pitchFamily="34" charset="0"/>
                            </a:rPr>
                            <m:t>2</m:t>
                          </m:r>
                        </m:sup>
                      </m:sSup>
                      <m:r>
                        <m:rPr>
                          <m:sty m:val="p"/>
                        </m:rPr>
                        <a:rPr kumimoji="1" lang="el-GR" altLang="ja-JP" sz="2000" b="0" i="1">
                          <a:latin typeface="Cambria Math" panose="02040503050406030204" pitchFamily="18" charset="0"/>
                          <a:ea typeface="Cambria Math" panose="02040503050406030204" pitchFamily="18" charset="0"/>
                          <a:cs typeface="Arial" panose="020B0604020202020204" pitchFamily="34" charset="0"/>
                        </a:rPr>
                        <m:t>π</m:t>
                      </m:r>
                    </m:num>
                    <m:den>
                      <m:r>
                        <a:rPr kumimoji="1" lang="en-US" altLang="ja-JP" sz="2000" b="0" i="1">
                          <a:latin typeface="Cambria Math" panose="02040503050406030204" pitchFamily="18" charset="0"/>
                          <a:ea typeface="Cambria Math" panose="02040503050406030204" pitchFamily="18" charset="0"/>
                          <a:cs typeface="Arial" panose="020B0604020202020204" pitchFamily="34" charset="0"/>
                        </a:rPr>
                        <m:t>𝐾</m:t>
                      </m:r>
                      <m:r>
                        <a:rPr kumimoji="1" lang="en-US" altLang="ja-JP" sz="2000" b="0" i="1">
                          <a:latin typeface="Cambria Math" panose="02040503050406030204" pitchFamily="18" charset="0"/>
                          <a:ea typeface="Cambria Math" panose="02040503050406030204" pitchFamily="18" charset="0"/>
                          <a:cs typeface="Arial" panose="020B0604020202020204" pitchFamily="34" charset="0"/>
                        </a:rPr>
                        <m:t>^2</m:t>
                      </m:r>
                      <m:r>
                        <m:rPr>
                          <m:sty m:val="p"/>
                        </m:rPr>
                        <a:rPr kumimoji="1" lang="el-GR" altLang="ja-JP" sz="2000" b="0" i="1">
                          <a:latin typeface="Cambria Math" panose="02040503050406030204" pitchFamily="18" charset="0"/>
                          <a:ea typeface="Cambria Math" panose="02040503050406030204" pitchFamily="18" charset="0"/>
                          <a:cs typeface="Arial" panose="020B0604020202020204" pitchFamily="34" charset="0"/>
                        </a:rPr>
                        <m:t>μ</m:t>
                      </m:r>
                      <m:d>
                        <m:dPr>
                          <m:ctrlPr>
                            <a:rPr kumimoji="1" lang="el-GR" altLang="ja-JP" sz="2000" b="0" i="1">
                              <a:latin typeface="Cambria Math" panose="02040503050406030204" pitchFamily="18" charset="0"/>
                              <a:ea typeface="Cambria Math" panose="02040503050406030204" pitchFamily="18" charset="0"/>
                              <a:cs typeface="Arial" panose="020B0604020202020204" pitchFamily="34" charset="0"/>
                            </a:rPr>
                          </m:ctrlPr>
                        </m:dPr>
                        <m:e>
                          <m:r>
                            <a:rPr kumimoji="1" lang="el-GR" altLang="ja-JP" sz="2000" b="0" i="1">
                              <a:latin typeface="Cambria Math" panose="02040503050406030204" pitchFamily="18" charset="0"/>
                              <a:ea typeface="Cambria Math" panose="02040503050406030204" pitchFamily="18" charset="0"/>
                              <a:cs typeface="Arial" panose="020B0604020202020204" pitchFamily="34" charset="0"/>
                            </a:rPr>
                            <m:t>1+</m:t>
                          </m:r>
                          <m:r>
                            <a:rPr kumimoji="1" lang="ja-JP" altLang="el-GR" sz="2000" b="0" i="1">
                              <a:latin typeface="Cambria Math" panose="02040503050406030204" pitchFamily="18" charset="0"/>
                              <a:ea typeface="Cambria Math" panose="02040503050406030204" pitchFamily="18" charset="0"/>
                              <a:cs typeface="Arial" panose="020B0604020202020204" pitchFamily="34" charset="0"/>
                            </a:rPr>
                            <m:t>𝑇𝑎𝑛</m:t>
                          </m:r>
                          <m:r>
                            <a:rPr kumimoji="1" lang="el-GR" altLang="ja-JP" sz="2000" b="0" i="1">
                              <a:latin typeface="Cambria Math" panose="02040503050406030204" pitchFamily="18" charset="0"/>
                              <a:ea typeface="Cambria Math" panose="02040503050406030204" pitchFamily="18" charset="0"/>
                              <a:cs typeface="Arial" panose="020B0604020202020204" pitchFamily="34" charset="0"/>
                            </a:rPr>
                            <m:t>𝛿</m:t>
                          </m:r>
                          <m:r>
                            <a:rPr kumimoji="1" lang="en-US" altLang="ja-JP" sz="2000" b="0" i="1">
                              <a:latin typeface="Cambria Math" panose="02040503050406030204" pitchFamily="18" charset="0"/>
                              <a:ea typeface="Cambria Math" panose="02040503050406030204" pitchFamily="18" charset="0"/>
                              <a:cs typeface="Arial" panose="020B0604020202020204" pitchFamily="34" charset="0"/>
                            </a:rPr>
                            <m:t>𝑡𝑤</m:t>
                          </m:r>
                        </m:e>
                      </m:d>
                      <m:r>
                        <a:rPr kumimoji="1" lang="en-US" altLang="ja-JP" sz="2000" b="0" i="1">
                          <a:latin typeface="Cambria Math" panose="02040503050406030204" pitchFamily="18" charset="0"/>
                          <a:ea typeface="Cambria Math" panose="02040503050406030204" pitchFamily="18" charset="0"/>
                          <a:cs typeface="Arial" panose="020B0604020202020204" pitchFamily="34" charset="0"/>
                        </a:rPr>
                        <m:t>^2</m:t>
                      </m:r>
                    </m:den>
                  </m:f>
                </m:oMath>
              </a14:m>
              <a:endParaRPr kumimoji="1" lang="en-US" altLang="ja-JP" sz="2000">
                <a:latin typeface="Cambria Math" panose="02040503050406030204" pitchFamily="18" charset="0"/>
              </a:endParaRPr>
            </a:p>
            <a:p>
              <a:endParaRPr kumimoji="1" lang="en-US" altLang="ja-JP" sz="1400">
                <a:latin typeface="Cambria Math" panose="02040503050406030204" pitchFamily="18" charset="0"/>
              </a:endParaRPr>
            </a:p>
            <a:p>
              <a:endParaRPr kumimoji="1" lang="ja-JP" altLang="en-US" sz="1400">
                <a:latin typeface="Cambria Math" panose="02040503050406030204" pitchFamily="18" charset="0"/>
              </a:endParaRPr>
            </a:p>
          </xdr:txBody>
        </xdr:sp>
      </mc:Choice>
      <mc:Fallback xmlns="">
        <xdr:sp macro="" textlink="">
          <xdr:nvSpPr>
            <xdr:cNvPr id="6" name="テキスト ボックス 5">
              <a:extLst>
                <a:ext uri="{FF2B5EF4-FFF2-40B4-BE49-F238E27FC236}">
                  <a16:creationId xmlns:a16="http://schemas.microsoft.com/office/drawing/2014/main" id="{E6102036-27CB-4A22-9E3D-46DB2F9FE593}"/>
                </a:ext>
              </a:extLst>
            </xdr:cNvPr>
            <xdr:cNvSpPr txBox="1"/>
          </xdr:nvSpPr>
          <xdr:spPr>
            <a:xfrm>
              <a:off x="3857625" y="7886699"/>
              <a:ext cx="2657475" cy="11239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en-US" altLang="ja-JP" sz="2000">
                  <a:latin typeface="Cambria Math" panose="02040503050406030204" pitchFamily="18" charset="0"/>
                  <a:ea typeface="Cambria Math" panose="02040503050406030204" pitchFamily="18" charset="0"/>
                </a:rPr>
                <a:t>Tan</a:t>
              </a:r>
              <a:r>
                <a:rPr kumimoji="1" lang="el-GR" altLang="ja-JP" sz="2000">
                  <a:latin typeface="Cambria Math" panose="02040503050406030204" pitchFamily="18" charset="0"/>
                  <a:ea typeface="Cambria Math" panose="02040503050406030204" pitchFamily="18" charset="0"/>
                  <a:cs typeface="Arial" panose="020B0604020202020204" pitchFamily="34" charset="0"/>
                </a:rPr>
                <a:t>δ</a:t>
              </a:r>
              <a:r>
                <a:rPr kumimoji="1" lang="en-US" altLang="ja-JP" sz="2000" i="0">
                  <a:latin typeface="Cambria Math" panose="02040503050406030204" pitchFamily="18" charset="0"/>
                  <a:ea typeface="Cambria Math" panose="02040503050406030204" pitchFamily="18" charset="0"/>
                </a:rPr>
                <a:t>=</a:t>
              </a:r>
              <a:r>
                <a:rPr kumimoji="1" lang="en-US" altLang="ja-JP" sz="2000" b="0" i="0">
                  <a:latin typeface="Cambria Math" panose="02040503050406030204" pitchFamily="18" charset="0"/>
                  <a:ea typeface="Cambria Math" panose="02040503050406030204" pitchFamily="18" charset="0"/>
                </a:rPr>
                <a:t>𝐴/(</a:t>
              </a:r>
              <a:r>
                <a:rPr kumimoji="1" lang="el-GR" altLang="ja-JP" sz="2000" b="0" i="0">
                  <a:latin typeface="Cambria Math" panose="02040503050406030204" pitchFamily="18" charset="0"/>
                  <a:ea typeface="Cambria Math" panose="02040503050406030204" pitchFamily="18" charset="0"/>
                </a:rPr>
                <a:t>π</a:t>
              </a:r>
              <a:r>
                <a:rPr kumimoji="1" lang="en-US" altLang="ja-JP" sz="2000" b="0" i="0">
                  <a:latin typeface="Cambria Math" panose="02040503050406030204" pitchFamily="18" charset="0"/>
                  <a:ea typeface="Cambria Math" panose="02040503050406030204" pitchFamily="18" charset="0"/>
                </a:rPr>
                <a:t>∗𝐶∗𝑍𝑐)</a:t>
              </a:r>
              <a:endParaRPr kumimoji="1" lang="en-US" altLang="ja-JP" sz="2000">
                <a:latin typeface="Cambria Math" panose="02040503050406030204" pitchFamily="18" charset="0"/>
              </a:endParaRPr>
            </a:p>
            <a:p>
              <a:endParaRPr kumimoji="1" lang="en-US" altLang="ja-JP" sz="1050">
                <a:latin typeface="Cambria Math" panose="02040503050406030204" pitchFamily="18" charset="0"/>
              </a:endParaRPr>
            </a:p>
            <a:p>
              <a:r>
                <a:rPr kumimoji="1" lang="en-US" altLang="ja-JP" sz="2000">
                  <a:latin typeface="Cambria Math" panose="02040503050406030204" pitchFamily="18" charset="0"/>
                  <a:cs typeface="Arial" panose="020B0604020202020204" pitchFamily="34" charset="0"/>
                </a:rPr>
                <a:t>ρ=</a:t>
              </a:r>
              <a:r>
                <a:rPr kumimoji="1" lang="en-US" altLang="ja-JP" sz="2000" i="0">
                  <a:latin typeface="Cambria Math" panose="02040503050406030204" pitchFamily="18" charset="0"/>
                  <a:cs typeface="Arial" panose="020B0604020202020204" pitchFamily="34" charset="0"/>
                </a:rPr>
                <a:t>(</a:t>
              </a:r>
              <a:r>
                <a:rPr kumimoji="1" lang="en-US" altLang="ja-JP" sz="2000" b="0" i="0">
                  <a:latin typeface="Cambria Math" panose="02040503050406030204" pitchFamily="18" charset="0"/>
                  <a:cs typeface="Arial" panose="020B0604020202020204" pitchFamily="34" charset="0"/>
                </a:rPr>
                <a:t>(〖𝐵𝑑𝑍𝑐)〗^2</a:t>
              </a:r>
              <a:r>
                <a:rPr kumimoji="1" lang="el-GR" altLang="ja-JP" sz="2000" b="0" i="0">
                  <a:latin typeface="Cambria Math" panose="02040503050406030204" pitchFamily="18" charset="0"/>
                  <a:ea typeface="Cambria Math" panose="02040503050406030204" pitchFamily="18" charset="0"/>
                  <a:cs typeface="Arial" panose="020B0604020202020204" pitchFamily="34" charset="0"/>
                </a:rPr>
                <a:t> π</a:t>
              </a:r>
              <a:r>
                <a:rPr kumimoji="1" lang="en-US" altLang="ja-JP" sz="2000" b="0" i="0">
                  <a:latin typeface="Cambria Math" panose="02040503050406030204" pitchFamily="18" charset="0"/>
                  <a:ea typeface="Cambria Math" panose="02040503050406030204" pitchFamily="18" charset="0"/>
                  <a:cs typeface="Arial" panose="020B0604020202020204" pitchFamily="34" charset="0"/>
                </a:rPr>
                <a:t>)/(𝐾^2</a:t>
              </a:r>
              <a:r>
                <a:rPr kumimoji="1" lang="el-GR" altLang="ja-JP" sz="2000" b="0" i="0">
                  <a:latin typeface="Cambria Math" panose="02040503050406030204" pitchFamily="18" charset="0"/>
                  <a:ea typeface="Cambria Math" panose="02040503050406030204" pitchFamily="18" charset="0"/>
                  <a:cs typeface="Arial" panose="020B0604020202020204" pitchFamily="34" charset="0"/>
                </a:rPr>
                <a:t>μ(1+</a:t>
              </a:r>
              <a:r>
                <a:rPr kumimoji="1" lang="ja-JP" altLang="el-GR" sz="2000" b="0" i="0">
                  <a:latin typeface="Cambria Math" panose="02040503050406030204" pitchFamily="18" charset="0"/>
                  <a:ea typeface="Cambria Math" panose="02040503050406030204" pitchFamily="18" charset="0"/>
                  <a:cs typeface="Arial" panose="020B0604020202020204" pitchFamily="34" charset="0"/>
                </a:rPr>
                <a:t>𝑇𝑎𝑛</a:t>
              </a:r>
              <a:r>
                <a:rPr kumimoji="1" lang="el-GR" altLang="ja-JP" sz="2000" b="0" i="0">
                  <a:latin typeface="Cambria Math" panose="02040503050406030204" pitchFamily="18" charset="0"/>
                  <a:ea typeface="Cambria Math" panose="02040503050406030204" pitchFamily="18" charset="0"/>
                  <a:cs typeface="Arial" panose="020B0604020202020204" pitchFamily="34" charset="0"/>
                </a:rPr>
                <a:t>𝛿</a:t>
              </a:r>
              <a:r>
                <a:rPr kumimoji="1" lang="en-US" altLang="ja-JP" sz="2000" b="0" i="0">
                  <a:latin typeface="Cambria Math" panose="02040503050406030204" pitchFamily="18" charset="0"/>
                  <a:ea typeface="Cambria Math" panose="02040503050406030204" pitchFamily="18" charset="0"/>
                  <a:cs typeface="Arial" panose="020B0604020202020204" pitchFamily="34" charset="0"/>
                </a:rPr>
                <a:t>𝑡𝑤)^2)</a:t>
              </a:r>
              <a:endParaRPr kumimoji="1" lang="en-US" altLang="ja-JP" sz="2000">
                <a:latin typeface="Cambria Math" panose="02040503050406030204" pitchFamily="18" charset="0"/>
              </a:endParaRPr>
            </a:p>
            <a:p>
              <a:endParaRPr kumimoji="1" lang="en-US" altLang="ja-JP" sz="1400">
                <a:latin typeface="Cambria Math" panose="02040503050406030204" pitchFamily="18" charset="0"/>
              </a:endParaRPr>
            </a:p>
            <a:p>
              <a:endParaRPr kumimoji="1" lang="ja-JP" altLang="en-US" sz="1400">
                <a:latin typeface="Cambria Math" panose="02040503050406030204" pitchFamily="18" charset="0"/>
              </a:endParaRPr>
            </a:p>
          </xdr:txBody>
        </xdr:sp>
      </mc:Fallback>
    </mc:AlternateContent>
    <xdr:clientData/>
  </xdr:oneCellAnchor>
  <mc:AlternateContent xmlns:mc="http://schemas.openxmlformats.org/markup-compatibility/2006">
    <mc:Choice xmlns:a14="http://schemas.microsoft.com/office/drawing/2010/main" Requires="a14">
      <xdr:twoCellAnchor editAs="oneCell">
        <xdr:from>
          <xdr:col>0</xdr:col>
          <xdr:colOff>146050</xdr:colOff>
          <xdr:row>0</xdr:row>
          <xdr:rowOff>114300</xdr:rowOff>
        </xdr:from>
        <xdr:to>
          <xdr:col>2</xdr:col>
          <xdr:colOff>736600</xdr:colOff>
          <xdr:row>14</xdr:row>
          <xdr:rowOff>158750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0</xdr:row>
          <xdr:rowOff>82550</xdr:rowOff>
        </xdr:from>
        <xdr:to>
          <xdr:col>6</xdr:col>
          <xdr:colOff>1162050</xdr:colOff>
          <xdr:row>8</xdr:row>
          <xdr:rowOff>6350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5</xdr:col>
      <xdr:colOff>38101</xdr:colOff>
      <xdr:row>86</xdr:row>
      <xdr:rowOff>57149</xdr:rowOff>
    </xdr:from>
    <xdr:to>
      <xdr:col>12</xdr:col>
      <xdr:colOff>95250</xdr:colOff>
      <xdr:row>105</xdr:row>
      <xdr:rowOff>133349</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3</xdr:col>
      <xdr:colOff>57151</xdr:colOff>
      <xdr:row>8</xdr:row>
      <xdr:rowOff>95250</xdr:rowOff>
    </xdr:from>
    <xdr:ext cx="4371974" cy="1485900"/>
    <mc:AlternateContent xmlns:mc="http://schemas.openxmlformats.org/markup-compatibility/2006" xmlns:a14="http://schemas.microsoft.com/office/drawing/2010/main">
      <mc:Choice Requires="a14">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314701" y="2000250"/>
              <a:ext cx="4371974" cy="1485900"/>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latin typeface="Cambria Math" panose="02040503050406030204" pitchFamily="18" charset="0"/>
                  <a:ea typeface="Cambria Math" panose="02040503050406030204" pitchFamily="18" charset="0"/>
                  <a:cs typeface="Arial" panose="020B0604020202020204" pitchFamily="34" charset="0"/>
                </a:rPr>
                <a:t>Zc</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 = Z</a:t>
              </a:r>
              <a14:m>
                <m:oMath xmlns:m="http://schemas.openxmlformats.org/officeDocument/2006/math">
                  <m:r>
                    <a:rPr kumimoji="1" lang="en-US" altLang="ja-JP" sz="1400" i="1" baseline="-16000">
                      <a:latin typeface="Cambria Math" panose="02040503050406030204" pitchFamily="18" charset="0"/>
                      <a:ea typeface="Cambria Math" panose="02040503050406030204" pitchFamily="18" charset="0"/>
                    </a:rPr>
                    <m:t>∞</m:t>
                  </m:r>
                  <m:r>
                    <a:rPr kumimoji="1" lang="en-US" altLang="ja-JP" sz="1400" b="0" i="1" baseline="0">
                      <a:latin typeface="Cambria Math" panose="02040503050406030204" pitchFamily="18" charset="0"/>
                      <a:ea typeface="Cambria Math" panose="02040503050406030204" pitchFamily="18" charset="0"/>
                    </a:rPr>
                    <m:t>=</m:t>
                  </m:r>
                  <m:rad>
                    <m:radPr>
                      <m:degHide m:val="on"/>
                      <m:ctrlPr>
                        <a:rPr kumimoji="1" lang="en-US" altLang="ja-JP" sz="1400" i="1" baseline="0">
                          <a:latin typeface="Cambria Math" panose="02040503050406030204" pitchFamily="18" charset="0"/>
                          <a:ea typeface="Cambria Math" panose="02040503050406030204" pitchFamily="18" charset="0"/>
                        </a:rPr>
                      </m:ctrlPr>
                    </m:radPr>
                    <m:deg/>
                    <m:e>
                      <m:f>
                        <m:fPr>
                          <m:ctrlPr>
                            <a:rPr kumimoji="1" lang="en-US" altLang="ja-JP" sz="1400" i="1" baseline="0">
                              <a:latin typeface="Cambria Math" panose="02040503050406030204" pitchFamily="18" charset="0"/>
                              <a:ea typeface="Cambria Math" panose="02040503050406030204" pitchFamily="18" charset="0"/>
                            </a:rPr>
                          </m:ctrlPr>
                        </m:fPr>
                        <m:num>
                          <m:r>
                            <a:rPr kumimoji="1" lang="en-US" altLang="ja-JP" sz="1400" b="0" i="1" baseline="0">
                              <a:latin typeface="Cambria Math" panose="02040503050406030204" pitchFamily="18" charset="0"/>
                              <a:ea typeface="Cambria Math" panose="02040503050406030204" pitchFamily="18" charset="0"/>
                            </a:rPr>
                            <m:t>𝐿𝑒</m:t>
                          </m:r>
                        </m:num>
                        <m:den>
                          <m:r>
                            <a:rPr kumimoji="1" lang="en-US" altLang="ja-JP" sz="1400" b="0" i="1" baseline="0">
                              <a:latin typeface="Cambria Math" panose="02040503050406030204" pitchFamily="18" charset="0"/>
                              <a:ea typeface="Cambria Math" panose="02040503050406030204" pitchFamily="18" charset="0"/>
                            </a:rPr>
                            <m:t>𝐶</m:t>
                          </m:r>
                        </m:den>
                      </m:f>
                    </m:e>
                  </m:rad>
                </m:oMath>
              </a14:m>
              <a:endParaRPr kumimoji="1" lang="en-US" altLang="ja-JP" sz="1400">
                <a:latin typeface="Cambria Math" panose="02040503050406030204" pitchFamily="18" charset="0"/>
                <a:ea typeface="Cambria Math" panose="02040503050406030204" pitchFamily="18" charset="0"/>
                <a:cs typeface="Arial" panose="020B0604020202020204" pitchFamily="34" charset="0"/>
              </a:endParaRPr>
            </a:p>
            <a:p>
              <a:r>
                <a:rPr kumimoji="1" lang="en-US" altLang="ja-JP" sz="1400">
                  <a:latin typeface="Cambria Math" panose="02040503050406030204" pitchFamily="18" charset="0"/>
                  <a:ea typeface="Cambria Math" panose="02040503050406030204" pitchFamily="18" charset="0"/>
                  <a:cs typeface="Arial" panose="020B0604020202020204" pitchFamily="34" charset="0"/>
                </a:rPr>
                <a:t>Le = </a:t>
              </a:r>
              <a14:m>
                <m:oMath xmlns:m="http://schemas.openxmlformats.org/officeDocument/2006/math">
                  <m:f>
                    <m:fPr>
                      <m:ctrlPr>
                        <a:rPr kumimoji="1" lang="en-US" altLang="ja-JP" sz="1400" i="1">
                          <a:latin typeface="Cambria Math" panose="02040503050406030204" pitchFamily="18" charset="0"/>
                          <a:ea typeface="Cambria Math" panose="02040503050406030204" pitchFamily="18" charset="0"/>
                        </a:rPr>
                      </m:ctrlPr>
                    </m:fPr>
                    <m:num>
                      <m:r>
                        <a:rPr kumimoji="1" lang="ja-JP" altLang="en-US" sz="1400" i="1">
                          <a:latin typeface="Cambria Math" panose="02040503050406030204" pitchFamily="18" charset="0"/>
                        </a:rPr>
                        <m:t>𝜇</m:t>
                      </m:r>
                      <m:r>
                        <a:rPr kumimoji="1" lang="en-US" altLang="ja-JP" sz="1400" b="0" i="1" baseline="-16000">
                          <a:latin typeface="Cambria Math" panose="02040503050406030204" pitchFamily="18" charset="0"/>
                          <a:ea typeface="Cambria Math" panose="02040503050406030204" pitchFamily="18" charset="0"/>
                        </a:rPr>
                        <m:t>0</m:t>
                      </m:r>
                    </m:num>
                    <m:den>
                      <m:r>
                        <a:rPr kumimoji="1" lang="en-US" altLang="ja-JP" sz="1400" b="0" i="1">
                          <a:latin typeface="Cambria Math" panose="02040503050406030204" pitchFamily="18" charset="0"/>
                          <a:ea typeface="Cambria Math" panose="02040503050406030204" pitchFamily="18" charset="0"/>
                        </a:rPr>
                        <m:t>4</m:t>
                      </m:r>
                      <m:r>
                        <a:rPr kumimoji="1" lang="ja-JP" altLang="en-US" sz="1400" b="0" i="1">
                          <a:latin typeface="Cambria Math" panose="02040503050406030204" pitchFamily="18" charset="0"/>
                        </a:rPr>
                        <m:t>𝜋</m:t>
                      </m:r>
                    </m:den>
                  </m:f>
                  <m:r>
                    <a:rPr kumimoji="1" lang="en-US" altLang="ja-JP" sz="1400" b="0" i="1">
                      <a:latin typeface="Cambria Math" panose="02040503050406030204" pitchFamily="18" charset="0"/>
                      <a:ea typeface="Cambria Math" panose="02040503050406030204" pitchFamily="18" charset="0"/>
                    </a:rPr>
                    <m:t>(4</m:t>
                  </m:r>
                  <m:func>
                    <m:funcPr>
                      <m:ctrlPr>
                        <a:rPr kumimoji="1" lang="en-US" altLang="ja-JP" sz="1400" b="0" i="1">
                          <a:latin typeface="Cambria Math" panose="02040503050406030204" pitchFamily="18" charset="0"/>
                          <a:ea typeface="Cambria Math" panose="02040503050406030204" pitchFamily="18" charset="0"/>
                        </a:rPr>
                      </m:ctrlPr>
                    </m:funcPr>
                    <m:fName>
                      <m:r>
                        <m:rPr>
                          <m:sty m:val="p"/>
                        </m:rPr>
                        <a:rPr kumimoji="1" lang="en-US" altLang="ja-JP" sz="1400" b="0" i="0">
                          <a:latin typeface="Cambria Math" panose="02040503050406030204" pitchFamily="18" charset="0"/>
                          <a:ea typeface="Cambria Math" panose="02040503050406030204" pitchFamily="18" charset="0"/>
                        </a:rPr>
                        <m:t>ln</m:t>
                      </m:r>
                    </m:fName>
                    <m:e>
                      <m:d>
                        <m:dPr>
                          <m:ctrlPr>
                            <a:rPr kumimoji="1" lang="en-US" altLang="ja-JP" sz="1400" b="0" i="1">
                              <a:latin typeface="Cambria Math" panose="02040503050406030204" pitchFamily="18" charset="0"/>
                              <a:ea typeface="Cambria Math" panose="02040503050406030204" pitchFamily="18" charset="0"/>
                            </a:rPr>
                          </m:ctrlPr>
                        </m:dPr>
                        <m:e>
                          <m:f>
                            <m:fPr>
                              <m:ctrlPr>
                                <a:rPr kumimoji="1" lang="en-US" altLang="ja-JP" sz="1400" b="0" i="1">
                                  <a:latin typeface="Cambria Math" panose="02040503050406030204" pitchFamily="18" charset="0"/>
                                  <a:ea typeface="Cambria Math" panose="02040503050406030204" pitchFamily="18" charset="0"/>
                                </a:rPr>
                              </m:ctrlPr>
                            </m:fPr>
                            <m:num>
                              <m:r>
                                <a:rPr kumimoji="1" lang="en-US" altLang="ja-JP" sz="1400" b="0" i="1">
                                  <a:latin typeface="Cambria Math" panose="02040503050406030204" pitchFamily="18" charset="0"/>
                                  <a:ea typeface="Cambria Math" panose="02040503050406030204" pitchFamily="18" charset="0"/>
                                </a:rPr>
                                <m:t>2</m:t>
                              </m:r>
                              <m:r>
                                <a:rPr kumimoji="1" lang="en-US" altLang="ja-JP" sz="1400" b="0" i="1">
                                  <a:latin typeface="Cambria Math" panose="02040503050406030204" pitchFamily="18" charset="0"/>
                                  <a:ea typeface="Cambria Math" panose="02040503050406030204" pitchFamily="18" charset="0"/>
                                </a:rPr>
                                <m:t>𝐷</m:t>
                              </m:r>
                            </m:num>
                            <m:den>
                              <m:r>
                                <a:rPr kumimoji="1" lang="en-US" altLang="ja-JP" sz="1400" b="0" i="1">
                                  <a:latin typeface="Cambria Math" panose="02040503050406030204" pitchFamily="18" charset="0"/>
                                  <a:ea typeface="Cambria Math" panose="02040503050406030204" pitchFamily="18" charset="0"/>
                                </a:rPr>
                                <m:t>𝑑</m:t>
                              </m:r>
                            </m:den>
                          </m:f>
                        </m:e>
                      </m:d>
                      <m:r>
                        <a:rPr kumimoji="1" lang="en-US" altLang="ja-JP" sz="1400" b="0" i="1">
                          <a:latin typeface="Cambria Math" panose="02040503050406030204" pitchFamily="18" charset="0"/>
                          <a:ea typeface="Cambria Math" panose="02040503050406030204" pitchFamily="18" charset="0"/>
                        </a:rPr>
                        <m:t>+</m:t>
                      </m:r>
                      <m:r>
                        <a:rPr kumimoji="1" lang="ja-JP" altLang="en-US" sz="1400" b="0" i="1">
                          <a:latin typeface="Cambria Math" panose="02040503050406030204" pitchFamily="18" charset="0"/>
                        </a:rPr>
                        <m:t>𝜇</m:t>
                      </m:r>
                      <m:r>
                        <a:rPr kumimoji="1" lang="en-US" altLang="ja-JP" sz="1400" b="0" i="1">
                          <a:latin typeface="Cambria Math" panose="02040503050406030204" pitchFamily="18" charset="0"/>
                          <a:ea typeface="Cambria Math" panose="02040503050406030204" pitchFamily="18" charset="0"/>
                        </a:rPr>
                        <m:t>)   </m:t>
                      </m:r>
                    </m:e>
                  </m:func>
                </m:oMath>
              </a14:m>
              <a:r>
                <a:rPr kumimoji="1" lang="ja-JP" altLang="en-US" sz="1400">
                  <a:latin typeface="Cambria Math" panose="02040503050406030204" pitchFamily="18" charset="0"/>
                  <a:cs typeface="Arial" panose="020B0604020202020204" pitchFamily="34" charset="0"/>
                </a:rPr>
                <a:t> </a:t>
              </a:r>
              <a:r>
                <a:rPr kumimoji="1" lang="en-US" altLang="ja-JP" sz="1400">
                  <a:latin typeface="Cambria Math" panose="02040503050406030204" pitchFamily="18" charset="0"/>
                  <a:ea typeface="Cambria Math" panose="02040503050406030204" pitchFamily="18" charset="0"/>
                  <a:cs typeface="Arial" panose="020B0604020202020204" pitchFamily="34" charset="0"/>
                </a:rPr>
                <a:t>(H/loop-m)</a:t>
              </a:r>
            </a:p>
            <a:p>
              <a:r>
                <a:rPr kumimoji="1" lang="en-US" altLang="ja-JP" sz="1400">
                  <a:latin typeface="Cambria Math" panose="02040503050406030204" pitchFamily="18" charset="0"/>
                  <a:ea typeface="Cambria Math" panose="02040503050406030204" pitchFamily="18" charset="0"/>
                  <a:cs typeface="Arial" panose="020B0604020202020204" pitchFamily="34" charset="0"/>
                </a:rPr>
                <a:t>D: distance of conductor of pair</a:t>
              </a:r>
            </a:p>
            <a:p>
              <a:r>
                <a:rPr kumimoji="1" lang="en-US" altLang="ja-JP" sz="1400">
                  <a:latin typeface="Cambria Math" panose="02040503050406030204" pitchFamily="18" charset="0"/>
                  <a:ea typeface="Cambria Math" panose="02040503050406030204" pitchFamily="18" charset="0"/>
                  <a:cs typeface="Arial" panose="020B0604020202020204" pitchFamily="34" charset="0"/>
                </a:rPr>
                <a:t>d: equivalent diameter of stranded conductor</a:t>
              </a:r>
            </a:p>
            <a:p>
              <a:r>
                <a:rPr kumimoji="1" lang="el-GR" altLang="ja-JP" sz="1400">
                  <a:latin typeface="Cambria Math" panose="02040503050406030204" pitchFamily="18" charset="0"/>
                  <a:ea typeface="Cambria Math" panose="02040503050406030204" pitchFamily="18" charset="0"/>
                  <a:cs typeface="Arial" panose="020B0604020202020204" pitchFamily="34" charset="0"/>
                </a:rPr>
                <a:t>μ</a:t>
              </a:r>
              <a:r>
                <a:rPr kumimoji="1" lang="en-US" altLang="ja-JP" sz="1400" baseline="-16000">
                  <a:latin typeface="Cambria Math" panose="02040503050406030204" pitchFamily="18" charset="0"/>
                  <a:ea typeface="Cambria Math" panose="02040503050406030204" pitchFamily="18" charset="0"/>
                  <a:cs typeface="Arial" panose="020B0604020202020204" pitchFamily="34" charset="0"/>
                </a:rPr>
                <a:t>0</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 = 4</a:t>
              </a:r>
              <a:r>
                <a:rPr kumimoji="1" lang="el-GR" altLang="ja-JP" sz="1400" baseline="0">
                  <a:latin typeface="Cambria Math" panose="02040503050406030204" pitchFamily="18" charset="0"/>
                  <a:ea typeface="Cambria Math" panose="02040503050406030204" pitchFamily="18" charset="0"/>
                  <a:cs typeface="Arial" panose="020B0604020202020204" pitchFamily="34" charset="0"/>
                </a:rPr>
                <a:t>π</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E-7, </a:t>
              </a:r>
              <a:r>
                <a:rPr kumimoji="1" lang="el-GR" altLang="ja-JP" sz="1400" baseline="0">
                  <a:latin typeface="Cambria Math" panose="02040503050406030204" pitchFamily="18" charset="0"/>
                  <a:ea typeface="Cambria Math" panose="02040503050406030204" pitchFamily="18" charset="0"/>
                  <a:cs typeface="Arial" panose="020B0604020202020204" pitchFamily="34" charset="0"/>
                </a:rPr>
                <a:t>μ</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 = 1</a:t>
              </a:r>
              <a:endParaRPr kumimoji="1" lang="ja-JP" altLang="en-US" sz="1400">
                <a:latin typeface="Cambria Math" panose="02040503050406030204" pitchFamily="18" charset="0"/>
                <a:cs typeface="Arial" panose="020B0604020202020204" pitchFamily="34" charset="0"/>
              </a:endParaRPr>
            </a:p>
          </xdr:txBody>
        </xdr:sp>
      </mc:Choice>
      <mc:Fallback xmlns="">
        <xdr:sp macro="" textlink="">
          <xdr:nvSpPr>
            <xdr:cNvPr id="10" name="テキスト ボックス 9">
              <a:extLst>
                <a:ext uri="{FF2B5EF4-FFF2-40B4-BE49-F238E27FC236}">
                  <a16:creationId xmlns:a16="http://schemas.microsoft.com/office/drawing/2014/main" id="{893989C1-D344-4112-AE97-F89C0A8F3021}"/>
                </a:ext>
              </a:extLst>
            </xdr:cNvPr>
            <xdr:cNvSpPr txBox="1"/>
          </xdr:nvSpPr>
          <xdr:spPr>
            <a:xfrm>
              <a:off x="3314701" y="2000250"/>
              <a:ext cx="4371974" cy="1485900"/>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latin typeface="Cambria Math" panose="02040503050406030204" pitchFamily="18" charset="0"/>
                  <a:ea typeface="Cambria Math" panose="02040503050406030204" pitchFamily="18" charset="0"/>
                  <a:cs typeface="Arial" panose="020B0604020202020204" pitchFamily="34" charset="0"/>
                </a:rPr>
                <a:t>Zc</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 = Z</a:t>
              </a:r>
              <a:r>
                <a:rPr kumimoji="1" lang="en-US" altLang="ja-JP" sz="1400" i="0" baseline="-16000">
                  <a:latin typeface="Cambria Math" panose="02040503050406030204" pitchFamily="18" charset="0"/>
                  <a:ea typeface="Cambria Math" panose="02040503050406030204" pitchFamily="18" charset="0"/>
                </a:rPr>
                <a:t>∞</a:t>
              </a:r>
              <a:r>
                <a:rPr kumimoji="1" lang="en-US" altLang="ja-JP" sz="1400" b="0" i="0" baseline="0">
                  <a:latin typeface="Cambria Math" panose="02040503050406030204" pitchFamily="18" charset="0"/>
                  <a:ea typeface="Cambria Math" panose="02040503050406030204" pitchFamily="18" charset="0"/>
                </a:rPr>
                <a:t>=</a:t>
              </a:r>
              <a:r>
                <a:rPr kumimoji="1" lang="en-US" altLang="ja-JP" sz="1400" i="0" baseline="0">
                  <a:latin typeface="Cambria Math" panose="02040503050406030204" pitchFamily="18" charset="0"/>
                  <a:ea typeface="Cambria Math" panose="02040503050406030204" pitchFamily="18" charset="0"/>
                </a:rPr>
                <a:t>√(</a:t>
              </a:r>
              <a:r>
                <a:rPr kumimoji="1" lang="en-US" altLang="ja-JP" sz="1400" b="0" i="0" baseline="0">
                  <a:latin typeface="Cambria Math" panose="02040503050406030204" pitchFamily="18" charset="0"/>
                  <a:ea typeface="Cambria Math" panose="02040503050406030204" pitchFamily="18" charset="0"/>
                </a:rPr>
                <a:t>𝐿𝑒/𝐶)</a:t>
              </a:r>
              <a:endParaRPr kumimoji="1" lang="en-US" altLang="ja-JP" sz="1400">
                <a:latin typeface="Cambria Math" panose="02040503050406030204" pitchFamily="18" charset="0"/>
                <a:ea typeface="Cambria Math" panose="02040503050406030204" pitchFamily="18" charset="0"/>
                <a:cs typeface="Arial" panose="020B0604020202020204" pitchFamily="34" charset="0"/>
              </a:endParaRPr>
            </a:p>
            <a:p>
              <a:r>
                <a:rPr kumimoji="1" lang="en-US" altLang="ja-JP" sz="1400">
                  <a:latin typeface="Cambria Math" panose="02040503050406030204" pitchFamily="18" charset="0"/>
                  <a:ea typeface="Cambria Math" panose="02040503050406030204" pitchFamily="18" charset="0"/>
                  <a:cs typeface="Arial" panose="020B0604020202020204" pitchFamily="34" charset="0"/>
                </a:rPr>
                <a:t>Le = </a:t>
              </a:r>
              <a:r>
                <a:rPr kumimoji="1" lang="ja-JP" altLang="en-US" sz="1400" i="0">
                  <a:latin typeface="Cambria Math" panose="02040503050406030204" pitchFamily="18" charset="0"/>
                </a:rPr>
                <a:t>𝜇</a:t>
              </a:r>
              <a:r>
                <a:rPr kumimoji="1" lang="en-US" altLang="ja-JP" sz="1400" b="0" i="0" baseline="-16000">
                  <a:latin typeface="Cambria Math" panose="02040503050406030204" pitchFamily="18" charset="0"/>
                  <a:ea typeface="Cambria Math" panose="02040503050406030204" pitchFamily="18" charset="0"/>
                </a:rPr>
                <a:t>0/</a:t>
              </a:r>
              <a:r>
                <a:rPr kumimoji="1" lang="en-US" altLang="ja-JP" sz="1400" b="0" i="0">
                  <a:latin typeface="Cambria Math" panose="02040503050406030204" pitchFamily="18" charset="0"/>
                  <a:ea typeface="Cambria Math" panose="02040503050406030204" pitchFamily="18" charset="0"/>
                </a:rPr>
                <a:t>4</a:t>
              </a:r>
              <a:r>
                <a:rPr kumimoji="1" lang="ja-JP" altLang="en-US" sz="1400" b="0" i="0">
                  <a:latin typeface="Cambria Math" panose="02040503050406030204" pitchFamily="18" charset="0"/>
                </a:rPr>
                <a:t>𝜋</a:t>
              </a:r>
              <a:r>
                <a:rPr kumimoji="1" lang="en-US" altLang="ja-JP" sz="1400" b="0" i="0">
                  <a:latin typeface="Cambria Math" panose="02040503050406030204" pitchFamily="18" charset="0"/>
                  <a:ea typeface="Cambria Math" panose="02040503050406030204" pitchFamily="18" charset="0"/>
                </a:rPr>
                <a:t>(4 ln⁡〖(2𝐷/𝑑)+</a:t>
              </a:r>
              <a:r>
                <a:rPr kumimoji="1" lang="ja-JP" altLang="en-US" sz="1400" b="0" i="0">
                  <a:latin typeface="Cambria Math" panose="02040503050406030204" pitchFamily="18" charset="0"/>
                </a:rPr>
                <a:t>𝜇</a:t>
              </a:r>
              <a:r>
                <a:rPr kumimoji="1" lang="en-US" altLang="ja-JP" sz="1400" b="0" i="0">
                  <a:latin typeface="Cambria Math" panose="02040503050406030204" pitchFamily="18" charset="0"/>
                  <a:ea typeface="Cambria Math" panose="02040503050406030204" pitchFamily="18" charset="0"/>
                </a:rPr>
                <a:t>)   〗</a:t>
              </a:r>
              <a:r>
                <a:rPr kumimoji="1" lang="ja-JP" altLang="en-US" sz="1400">
                  <a:latin typeface="Cambria Math" panose="02040503050406030204" pitchFamily="18" charset="0"/>
                  <a:cs typeface="Arial" panose="020B0604020202020204" pitchFamily="34" charset="0"/>
                </a:rPr>
                <a:t> </a:t>
              </a:r>
              <a:r>
                <a:rPr kumimoji="1" lang="en-US" altLang="ja-JP" sz="1400">
                  <a:latin typeface="Cambria Math" panose="02040503050406030204" pitchFamily="18" charset="0"/>
                  <a:ea typeface="Cambria Math" panose="02040503050406030204" pitchFamily="18" charset="0"/>
                  <a:cs typeface="Arial" panose="020B0604020202020204" pitchFamily="34" charset="0"/>
                </a:rPr>
                <a:t>(H/loop-m)</a:t>
              </a:r>
            </a:p>
            <a:p>
              <a:r>
                <a:rPr kumimoji="1" lang="en-US" altLang="ja-JP" sz="1400">
                  <a:latin typeface="Cambria Math" panose="02040503050406030204" pitchFamily="18" charset="0"/>
                  <a:ea typeface="Cambria Math" panose="02040503050406030204" pitchFamily="18" charset="0"/>
                  <a:cs typeface="Arial" panose="020B0604020202020204" pitchFamily="34" charset="0"/>
                </a:rPr>
                <a:t>D: distance of conductor of pair</a:t>
              </a:r>
            </a:p>
            <a:p>
              <a:r>
                <a:rPr kumimoji="1" lang="en-US" altLang="ja-JP" sz="1400">
                  <a:latin typeface="Cambria Math" panose="02040503050406030204" pitchFamily="18" charset="0"/>
                  <a:ea typeface="Cambria Math" panose="02040503050406030204" pitchFamily="18" charset="0"/>
                  <a:cs typeface="Arial" panose="020B0604020202020204" pitchFamily="34" charset="0"/>
                </a:rPr>
                <a:t>d: equivalent diameter of stranded conductor</a:t>
              </a:r>
            </a:p>
            <a:p>
              <a:r>
                <a:rPr kumimoji="1" lang="el-GR" altLang="ja-JP" sz="1400">
                  <a:latin typeface="Cambria Math" panose="02040503050406030204" pitchFamily="18" charset="0"/>
                  <a:ea typeface="Cambria Math" panose="02040503050406030204" pitchFamily="18" charset="0"/>
                  <a:cs typeface="Arial" panose="020B0604020202020204" pitchFamily="34" charset="0"/>
                </a:rPr>
                <a:t>μ</a:t>
              </a:r>
              <a:r>
                <a:rPr kumimoji="1" lang="en-US" altLang="ja-JP" sz="1400" baseline="-16000">
                  <a:latin typeface="Cambria Math" panose="02040503050406030204" pitchFamily="18" charset="0"/>
                  <a:ea typeface="Cambria Math" panose="02040503050406030204" pitchFamily="18" charset="0"/>
                  <a:cs typeface="Arial" panose="020B0604020202020204" pitchFamily="34" charset="0"/>
                </a:rPr>
                <a:t>0</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 = 4</a:t>
              </a:r>
              <a:r>
                <a:rPr kumimoji="1" lang="el-GR" altLang="ja-JP" sz="1400" baseline="0">
                  <a:latin typeface="Cambria Math" panose="02040503050406030204" pitchFamily="18" charset="0"/>
                  <a:ea typeface="Cambria Math" panose="02040503050406030204" pitchFamily="18" charset="0"/>
                  <a:cs typeface="Arial" panose="020B0604020202020204" pitchFamily="34" charset="0"/>
                </a:rPr>
                <a:t>π</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E-7, </a:t>
              </a:r>
              <a:r>
                <a:rPr kumimoji="1" lang="el-GR" altLang="ja-JP" sz="1400" baseline="0">
                  <a:latin typeface="Cambria Math" panose="02040503050406030204" pitchFamily="18" charset="0"/>
                  <a:ea typeface="Cambria Math" panose="02040503050406030204" pitchFamily="18" charset="0"/>
                  <a:cs typeface="Arial" panose="020B0604020202020204" pitchFamily="34" charset="0"/>
                </a:rPr>
                <a:t>μ</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 = 1</a:t>
              </a:r>
              <a:endParaRPr kumimoji="1" lang="ja-JP" altLang="en-US" sz="1400">
                <a:latin typeface="Cambria Math" panose="02040503050406030204" pitchFamily="18" charset="0"/>
                <a:cs typeface="Arial" panose="020B0604020202020204" pitchFamily="34" charset="0"/>
              </a:endParaRPr>
            </a:p>
          </xdr:txBody>
        </xdr:sp>
      </mc:Fallback>
    </mc:AlternateContent>
    <xdr:clientData/>
  </xdr:oneCellAnchor>
  <xdr:twoCellAnchor>
    <xdr:from>
      <xdr:col>7</xdr:col>
      <xdr:colOff>223837</xdr:colOff>
      <xdr:row>110</xdr:row>
      <xdr:rowOff>9525</xdr:rowOff>
    </xdr:from>
    <xdr:to>
      <xdr:col>15</xdr:col>
      <xdr:colOff>514350</xdr:colOff>
      <xdr:row>131</xdr:row>
      <xdr:rowOff>57149</xdr:rowOff>
    </xdr:to>
    <xdr:graphicFrame macro="">
      <xdr:nvGraphicFramePr>
        <xdr:cNvPr id="11" name="グラフ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328611</xdr:colOff>
      <xdr:row>132</xdr:row>
      <xdr:rowOff>104774</xdr:rowOff>
    </xdr:from>
    <xdr:to>
      <xdr:col>15</xdr:col>
      <xdr:colOff>600075</xdr:colOff>
      <xdr:row>153</xdr:row>
      <xdr:rowOff>152400</xdr:rowOff>
    </xdr:to>
    <xdr:graphicFrame macro="">
      <xdr:nvGraphicFramePr>
        <xdr:cNvPr id="12" name="グラフ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0.79353</cdr:x>
      <cdr:y>0.56699</cdr:y>
    </cdr:from>
    <cdr:to>
      <cdr:x>0.79353</cdr:x>
      <cdr:y>0.62201</cdr:y>
    </cdr:to>
    <cdr:cxnSp macro="">
      <cdr:nvCxnSpPr>
        <cdr:cNvPr id="3" name="直線矢印コネクタ 2">
          <a:extLst xmlns:a="http://schemas.openxmlformats.org/drawingml/2006/main">
            <a:ext uri="{FF2B5EF4-FFF2-40B4-BE49-F238E27FC236}">
              <a16:creationId xmlns:a16="http://schemas.microsoft.com/office/drawing/2014/main" id="{2E41455E-640A-4BBE-8D03-C4140B2AA1BE}"/>
            </a:ext>
          </a:extLst>
        </cdr:cNvPr>
        <cdr:cNvCxnSpPr/>
      </cdr:nvCxnSpPr>
      <cdr:spPr>
        <a:xfrm xmlns:a="http://schemas.openxmlformats.org/drawingml/2006/main" flipV="1">
          <a:off x="4905376" y="2257425"/>
          <a:ext cx="0" cy="21907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0.46995</cdr:x>
      <cdr:y>0.20833</cdr:y>
    </cdr:from>
    <cdr:to>
      <cdr:x>0.46995</cdr:x>
      <cdr:y>0.51914</cdr:y>
    </cdr:to>
    <cdr:cxnSp macro="">
      <cdr:nvCxnSpPr>
        <cdr:cNvPr id="5" name="直線矢印コネクタ 4">
          <a:extLst xmlns:a="http://schemas.openxmlformats.org/drawingml/2006/main">
            <a:ext uri="{FF2B5EF4-FFF2-40B4-BE49-F238E27FC236}">
              <a16:creationId xmlns:a16="http://schemas.microsoft.com/office/drawing/2014/main" id="{40577763-10DE-4197-9B97-1B9599D782B9}"/>
            </a:ext>
          </a:extLst>
        </cdr:cNvPr>
        <cdr:cNvCxnSpPr/>
      </cdr:nvCxnSpPr>
      <cdr:spPr>
        <a:xfrm xmlns:a="http://schemas.openxmlformats.org/drawingml/2006/main" flipH="1" flipV="1">
          <a:off x="2905103" y="829465"/>
          <a:ext cx="23" cy="123746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0.57935</cdr:x>
      <cdr:y>0.32515</cdr:y>
    </cdr:from>
    <cdr:to>
      <cdr:x>0.58089</cdr:x>
      <cdr:y>0.51435</cdr:y>
    </cdr:to>
    <cdr:cxnSp macro="">
      <cdr:nvCxnSpPr>
        <cdr:cNvPr id="7" name="直線矢印コネクタ 6">
          <a:extLst xmlns:a="http://schemas.openxmlformats.org/drawingml/2006/main">
            <a:ext uri="{FF2B5EF4-FFF2-40B4-BE49-F238E27FC236}">
              <a16:creationId xmlns:a16="http://schemas.microsoft.com/office/drawing/2014/main" id="{562F683A-FB32-4E30-9B86-8284A8BDABFD}"/>
            </a:ext>
          </a:extLst>
        </cdr:cNvPr>
        <cdr:cNvCxnSpPr/>
      </cdr:nvCxnSpPr>
      <cdr:spPr>
        <a:xfrm xmlns:a="http://schemas.openxmlformats.org/drawingml/2006/main" flipH="1" flipV="1">
          <a:off x="3581382" y="1294569"/>
          <a:ext cx="9544" cy="75330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0.56818</cdr:x>
      <cdr:y>0.2716</cdr:y>
    </cdr:from>
    <cdr:to>
      <cdr:x>0.56818</cdr:x>
      <cdr:y>0.36543</cdr:y>
    </cdr:to>
    <cdr:cxnSp macro="">
      <cdr:nvCxnSpPr>
        <cdr:cNvPr id="3" name="直線矢印コネクタ 2">
          <a:extLst xmlns:a="http://schemas.openxmlformats.org/drawingml/2006/main">
            <a:ext uri="{FF2B5EF4-FFF2-40B4-BE49-F238E27FC236}">
              <a16:creationId xmlns:a16="http://schemas.microsoft.com/office/drawing/2014/main" id="{C17E8318-E3EB-46F4-9791-EB4AB1DE11FE}"/>
            </a:ext>
          </a:extLst>
        </cdr:cNvPr>
        <cdr:cNvCxnSpPr/>
      </cdr:nvCxnSpPr>
      <cdr:spPr>
        <a:xfrm xmlns:a="http://schemas.openxmlformats.org/drawingml/2006/main" flipV="1">
          <a:off x="3571875" y="1047750"/>
          <a:ext cx="0" cy="36195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0.6803</cdr:x>
      <cdr:y>0.26914</cdr:y>
    </cdr:from>
    <cdr:to>
      <cdr:x>0.6803</cdr:x>
      <cdr:y>0.32099</cdr:y>
    </cdr:to>
    <cdr:cxnSp macro="">
      <cdr:nvCxnSpPr>
        <cdr:cNvPr id="5" name="直線矢印コネクタ 4">
          <a:extLst xmlns:a="http://schemas.openxmlformats.org/drawingml/2006/main">
            <a:ext uri="{FF2B5EF4-FFF2-40B4-BE49-F238E27FC236}">
              <a16:creationId xmlns:a16="http://schemas.microsoft.com/office/drawing/2014/main" id="{14DA1466-F8EF-4A0E-81A5-6CAF9907C43E}"/>
            </a:ext>
          </a:extLst>
        </cdr:cNvPr>
        <cdr:cNvCxnSpPr/>
      </cdr:nvCxnSpPr>
      <cdr:spPr>
        <a:xfrm xmlns:a="http://schemas.openxmlformats.org/drawingml/2006/main" flipV="1">
          <a:off x="4276725" y="1038225"/>
          <a:ext cx="0" cy="20002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0.83333</cdr:x>
      <cdr:y>0.27901</cdr:y>
    </cdr:from>
    <cdr:to>
      <cdr:x>0.83333</cdr:x>
      <cdr:y>0.30617</cdr:y>
    </cdr:to>
    <cdr:cxnSp macro="">
      <cdr:nvCxnSpPr>
        <cdr:cNvPr id="7" name="直線矢印コネクタ 6">
          <a:extLst xmlns:a="http://schemas.openxmlformats.org/drawingml/2006/main">
            <a:ext uri="{FF2B5EF4-FFF2-40B4-BE49-F238E27FC236}">
              <a16:creationId xmlns:a16="http://schemas.microsoft.com/office/drawing/2014/main" id="{FE2F557F-F71F-4580-823E-CE20F226C0EC}"/>
            </a:ext>
          </a:extLst>
        </cdr:cNvPr>
        <cdr:cNvCxnSpPr/>
      </cdr:nvCxnSpPr>
      <cdr:spPr>
        <a:xfrm xmlns:a="http://schemas.openxmlformats.org/drawingml/2006/main" flipV="1">
          <a:off x="5238750" y="1076325"/>
          <a:ext cx="0" cy="10477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0.21212</cdr:x>
      <cdr:y>0.64198</cdr:y>
    </cdr:from>
    <cdr:to>
      <cdr:x>0.90758</cdr:x>
      <cdr:y>0.79506</cdr:y>
    </cdr:to>
    <cdr:sp macro="" textlink="">
      <cdr:nvSpPr>
        <cdr:cNvPr id="2" name="正方形/長方形 1">
          <a:extLst xmlns:a="http://schemas.openxmlformats.org/drawingml/2006/main">
            <a:ext uri="{FF2B5EF4-FFF2-40B4-BE49-F238E27FC236}">
              <a16:creationId xmlns:a16="http://schemas.microsoft.com/office/drawing/2014/main" id="{9F2F1720-5E9E-4CC2-BC72-860653F562E0}"/>
            </a:ext>
          </a:extLst>
        </cdr:cNvPr>
        <cdr:cNvSpPr/>
      </cdr:nvSpPr>
      <cdr:spPr>
        <a:xfrm xmlns:a="http://schemas.openxmlformats.org/drawingml/2006/main">
          <a:off x="1333501" y="2476501"/>
          <a:ext cx="4371974" cy="590549"/>
        </a:xfrm>
        <a:prstGeom xmlns:a="http://schemas.openxmlformats.org/drawingml/2006/main" prst="rect">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ltLang="ja-JP" sz="1050">
              <a:solidFill>
                <a:sysClr val="windowText" lastClr="000000"/>
              </a:solidFill>
              <a:latin typeface="Arial" panose="020B0604020202020204" pitchFamily="34" charset="0"/>
              <a:cs typeface="Arial" panose="020B0604020202020204" pitchFamily="34" charset="0"/>
            </a:rPr>
            <a:t>(A)</a:t>
          </a:r>
          <a:r>
            <a:rPr lang="en-US" altLang="ja-JP" sz="1050" baseline="0">
              <a:solidFill>
                <a:sysClr val="windowText" lastClr="000000"/>
              </a:solidFill>
              <a:latin typeface="Arial" panose="020B0604020202020204" pitchFamily="34" charset="0"/>
              <a:cs typeface="Arial" panose="020B0604020202020204" pitchFamily="34" charset="0"/>
            </a:rPr>
            <a:t> UTP Cat5e PVC, PE, 0.525A, Aged 40 degC 90%R/H, 2weeks</a:t>
          </a:r>
        </a:p>
        <a:p xmlns:a="http://schemas.openxmlformats.org/drawingml/2006/main">
          <a:r>
            <a:rPr lang="en-US" altLang="ja-JP" sz="1050" baseline="0">
              <a:solidFill>
                <a:sysClr val="windowText" lastClr="000000"/>
              </a:solidFill>
              <a:latin typeface="Arial" panose="020B0604020202020204" pitchFamily="34" charset="0"/>
              <a:cs typeface="Arial" panose="020B0604020202020204" pitchFamily="34" charset="0"/>
            </a:rPr>
            <a:t>(B) UTP Cat5e PVC, PE, 7/0.208A, Aged 40 degC 90%R/H, 2weeks</a:t>
          </a:r>
        </a:p>
        <a:p xmlns:a="http://schemas.openxmlformats.org/drawingml/2006/main">
          <a:r>
            <a:rPr lang="en-US" altLang="ja-JP" sz="1050" baseline="0">
              <a:solidFill>
                <a:sysClr val="windowText" lastClr="000000"/>
              </a:solidFill>
              <a:latin typeface="Arial" panose="020B0604020202020204" pitchFamily="34" charset="0"/>
              <a:cs typeface="Arial" panose="020B0604020202020204" pitchFamily="34" charset="0"/>
            </a:rPr>
            <a:t>(C) Quabbin Cat5 PVC, HDPE 7/32AWG UTP, Stored garage 23Years</a:t>
          </a:r>
          <a:endParaRPr lang="ja-JP"/>
        </a:p>
      </cdr:txBody>
    </cdr:sp>
  </cdr:relSizeAnchor>
  <cdr:relSizeAnchor xmlns:cdr="http://schemas.openxmlformats.org/drawingml/2006/chartDrawing">
    <cdr:from>
      <cdr:x>0.92273</cdr:x>
      <cdr:y>0.86667</cdr:y>
    </cdr:from>
    <cdr:to>
      <cdr:x>1</cdr:x>
      <cdr:y>1</cdr:y>
    </cdr:to>
    <cdr:sp macro="" textlink="">
      <cdr:nvSpPr>
        <cdr:cNvPr id="4" name="テキスト ボックス 3">
          <a:extLst xmlns:a="http://schemas.openxmlformats.org/drawingml/2006/main">
            <a:ext uri="{FF2B5EF4-FFF2-40B4-BE49-F238E27FC236}">
              <a16:creationId xmlns:a16="http://schemas.microsoft.com/office/drawing/2014/main" id="{E7073C82-C7B1-4050-905E-0EA043665833}"/>
            </a:ext>
          </a:extLst>
        </cdr:cNvPr>
        <cdr:cNvSpPr txBox="1"/>
      </cdr:nvSpPr>
      <cdr:spPr>
        <a:xfrm xmlns:a="http://schemas.openxmlformats.org/drawingml/2006/main">
          <a:off x="5800724" y="3343275"/>
          <a:ext cx="485775" cy="5143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050">
              <a:latin typeface="Arial" panose="020B0604020202020204" pitchFamily="34" charset="0"/>
              <a:cs typeface="Arial" panose="020B0604020202020204" pitchFamily="34" charset="0"/>
            </a:rPr>
            <a:t>400</a:t>
          </a:r>
          <a:endParaRPr lang="ja-JP" altLang="en-US"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0.05455</cdr:x>
      <cdr:y>0.05432</cdr:y>
    </cdr:from>
    <cdr:to>
      <cdr:x>0.15758</cdr:x>
      <cdr:y>0.1284</cdr:y>
    </cdr:to>
    <cdr:sp macro="" textlink="">
      <cdr:nvSpPr>
        <cdr:cNvPr id="6" name="テキスト ボックス 5">
          <a:extLst xmlns:a="http://schemas.openxmlformats.org/drawingml/2006/main">
            <a:ext uri="{FF2B5EF4-FFF2-40B4-BE49-F238E27FC236}">
              <a16:creationId xmlns:a16="http://schemas.microsoft.com/office/drawing/2014/main" id="{748A93D0-E4BA-4CBA-A2B0-7E41F8EAB372}"/>
            </a:ext>
          </a:extLst>
        </cdr:cNvPr>
        <cdr:cNvSpPr txBox="1"/>
      </cdr:nvSpPr>
      <cdr:spPr>
        <a:xfrm xmlns:a="http://schemas.openxmlformats.org/drawingml/2006/main">
          <a:off x="342900" y="209550"/>
          <a:ext cx="6477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100">
              <a:latin typeface="Arial" panose="020B0604020202020204" pitchFamily="34" charset="0"/>
              <a:cs typeface="Arial" panose="020B0604020202020204" pitchFamily="34" charset="0"/>
            </a:rPr>
            <a:t>600</a:t>
          </a:r>
          <a:endParaRPr lang="ja-JP" altLang="en-US" sz="1100">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0.58849</cdr:x>
      <cdr:y>0.5363</cdr:y>
    </cdr:from>
    <cdr:to>
      <cdr:x>0.95748</cdr:x>
      <cdr:y>0.72205</cdr:y>
    </cdr:to>
    <mc:AlternateContent xmlns:mc="http://schemas.openxmlformats.org/markup-compatibility/2006" xmlns:a14="http://schemas.microsoft.com/office/drawing/2010/main">
      <mc:Choice Requires="a14">
        <cdr:sp macro="" textlink="">
          <cdr:nvSpPr>
            <cdr:cNvPr id="2" name="テキスト ボックス 1">
              <a:extLst xmlns:a="http://schemas.openxmlformats.org/drawingml/2006/main">
                <a:ext uri="{FF2B5EF4-FFF2-40B4-BE49-F238E27FC236}">
                  <a16:creationId xmlns:a16="http://schemas.microsoft.com/office/drawing/2014/main" id="{54FEA2CC-4F9A-44DB-9630-EEBDE09D721A}"/>
                </a:ext>
              </a:extLst>
            </cdr:cNvPr>
            <cdr:cNvSpPr txBox="1"/>
          </cdr:nvSpPr>
          <cdr:spPr>
            <a:xfrm xmlns:a="http://schemas.openxmlformats.org/drawingml/2006/main">
              <a:off x="3822885" y="2273179"/>
              <a:ext cx="2396939" cy="78732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n-US" altLang="ja-JP" sz="1200"/>
                <a:t>Le=</a:t>
              </a:r>
              <a14:m>
                <m:oMath xmlns:m="http://schemas.openxmlformats.org/officeDocument/2006/math">
                  <m:f>
                    <m:fPr>
                      <m:ctrlPr>
                        <a:rPr lang="en-US" altLang="ja-JP" sz="1200" i="1">
                          <a:latin typeface="Cambria Math" panose="02040503050406030204" pitchFamily="18" charset="0"/>
                        </a:rPr>
                      </m:ctrlPr>
                    </m:fPr>
                    <m:num>
                      <m:r>
                        <a:rPr lang="ja-JP" altLang="en-US" sz="1200" i="1">
                          <a:latin typeface="Cambria Math" panose="02040503050406030204" pitchFamily="18" charset="0"/>
                        </a:rPr>
                        <m:t>𝜇</m:t>
                      </m:r>
                      <m:r>
                        <a:rPr lang="en-US" altLang="ja-JP" sz="1200" b="0" i="1" baseline="-10000">
                          <a:latin typeface="Cambria Math" panose="02040503050406030204" pitchFamily="18" charset="0"/>
                        </a:rPr>
                        <m:t>0</m:t>
                      </m:r>
                    </m:num>
                    <m:den>
                      <m:r>
                        <a:rPr lang="ja-JP" altLang="en-US" sz="1200" i="1">
                          <a:latin typeface="Cambria Math" panose="02040503050406030204" pitchFamily="18" charset="0"/>
                        </a:rPr>
                        <m:t>𝜋</m:t>
                      </m:r>
                    </m:den>
                  </m:f>
                  <m:d>
                    <m:dPr>
                      <m:ctrlPr>
                        <a:rPr lang="en-US" altLang="ja-JP" sz="1200" b="0" i="1">
                          <a:latin typeface="Cambria Math" panose="02040503050406030204" pitchFamily="18" charset="0"/>
                        </a:rPr>
                      </m:ctrlPr>
                    </m:dPr>
                    <m:e>
                      <m:r>
                        <a:rPr lang="en-US" altLang="ja-JP" sz="1200" b="0" i="1">
                          <a:latin typeface="Cambria Math" panose="02040503050406030204" pitchFamily="18" charset="0"/>
                        </a:rPr>
                        <m:t>4</m:t>
                      </m:r>
                      <m:r>
                        <a:rPr lang="en-US" altLang="ja-JP" sz="1200" b="0" i="1">
                          <a:latin typeface="Cambria Math" panose="02040503050406030204" pitchFamily="18" charset="0"/>
                        </a:rPr>
                        <m:t>𝑙𝑜𝑔𝑒</m:t>
                      </m:r>
                      <m:d>
                        <m:dPr>
                          <m:ctrlPr>
                            <a:rPr lang="en-US" altLang="ja-JP" sz="1200" b="0" i="1">
                              <a:latin typeface="Cambria Math" panose="02040503050406030204" pitchFamily="18" charset="0"/>
                            </a:rPr>
                          </m:ctrlPr>
                        </m:dPr>
                        <m:e>
                          <m:f>
                            <m:fPr>
                              <m:ctrlPr>
                                <a:rPr lang="en-US" altLang="ja-JP" sz="1200" b="0" i="1">
                                  <a:latin typeface="Cambria Math" panose="02040503050406030204" pitchFamily="18" charset="0"/>
                                </a:rPr>
                              </m:ctrlPr>
                            </m:fPr>
                            <m:num>
                              <m:r>
                                <a:rPr lang="en-US" altLang="ja-JP" sz="1200" b="0" i="1">
                                  <a:latin typeface="Cambria Math" panose="02040503050406030204" pitchFamily="18" charset="0"/>
                                </a:rPr>
                                <m:t>2</m:t>
                              </m:r>
                              <m:r>
                                <a:rPr lang="en-US" altLang="ja-JP" sz="1200" b="0" i="1">
                                  <a:latin typeface="Cambria Math" panose="02040503050406030204" pitchFamily="18" charset="0"/>
                                </a:rPr>
                                <m:t>𝐷</m:t>
                              </m:r>
                            </m:num>
                            <m:den>
                              <m:r>
                                <a:rPr lang="en-US" altLang="ja-JP" sz="1200" b="0" i="1">
                                  <a:latin typeface="Cambria Math" panose="02040503050406030204" pitchFamily="18" charset="0"/>
                                </a:rPr>
                                <m:t>𝑑</m:t>
                              </m:r>
                            </m:den>
                          </m:f>
                        </m:e>
                      </m:d>
                      <m:r>
                        <a:rPr lang="en-US" altLang="ja-JP" sz="1200" b="0" i="1">
                          <a:latin typeface="Cambria Math" panose="02040503050406030204" pitchFamily="18" charset="0"/>
                        </a:rPr>
                        <m:t>+</m:t>
                      </m:r>
                      <m:r>
                        <a:rPr lang="ja-JP" altLang="en-US" sz="1200" b="0" i="1">
                          <a:latin typeface="Cambria Math" panose="02040503050406030204" pitchFamily="18" charset="0"/>
                        </a:rPr>
                        <m:t>𝜇</m:t>
                      </m:r>
                    </m:e>
                  </m:d>
                </m:oMath>
              </a14:m>
              <a:endParaRPr lang="en-US" altLang="ja-JP" sz="1200" b="0"/>
            </a:p>
            <a:p xmlns:a="http://schemas.openxmlformats.org/drawingml/2006/main">
              <a:r>
                <a:rPr lang="en-US" altLang="ja-JP" sz="1200"/>
                <a:t>D: Distance of conductor</a:t>
              </a:r>
            </a:p>
            <a:p xmlns:a="http://schemas.openxmlformats.org/drawingml/2006/main">
              <a:r>
                <a:rPr lang="en-US" altLang="ja-JP" sz="1200"/>
                <a:t>d: Equivalent</a:t>
              </a:r>
              <a:r>
                <a:rPr lang="en-US" altLang="ja-JP" sz="1200" baseline="0"/>
                <a:t> diameter of conductor</a:t>
              </a:r>
              <a:endParaRPr lang="ja-JP" altLang="en-US" sz="1200"/>
            </a:p>
          </cdr:txBody>
        </cdr:sp>
      </mc:Choice>
      <mc:Fallback xmlns="">
        <cdr:sp macro="" textlink="">
          <cdr:nvSpPr>
            <cdr:cNvPr id="2" name="テキスト ボックス 1">
              <a:extLst xmlns:a="http://schemas.openxmlformats.org/drawingml/2006/main">
                <a:ext uri="{FF2B5EF4-FFF2-40B4-BE49-F238E27FC236}">
                  <a16:creationId xmlns:a16="http://schemas.microsoft.com/office/drawing/2014/main" id="{54FEA2CC-4F9A-44DB-9630-EEBDE09D721A}"/>
                </a:ext>
              </a:extLst>
            </cdr:cNvPr>
            <cdr:cNvSpPr txBox="1"/>
          </cdr:nvSpPr>
          <cdr:spPr>
            <a:xfrm xmlns:a="http://schemas.openxmlformats.org/drawingml/2006/main">
              <a:off x="3822885" y="2273179"/>
              <a:ext cx="2396939" cy="78732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n-US" altLang="ja-JP" sz="1200"/>
                <a:t>Le=</a:t>
              </a:r>
              <a:r>
                <a:rPr lang="ja-JP" altLang="en-US" sz="1200" i="0">
                  <a:latin typeface="Cambria Math" panose="02040503050406030204" pitchFamily="18" charset="0"/>
                </a:rPr>
                <a:t>𝜇</a:t>
              </a:r>
              <a:r>
                <a:rPr lang="en-US" altLang="ja-JP" sz="1200" b="0" i="0" baseline="-10000">
                  <a:latin typeface="Cambria Math" panose="02040503050406030204" pitchFamily="18" charset="0"/>
                </a:rPr>
                <a:t>0/</a:t>
              </a:r>
              <a:r>
                <a:rPr lang="ja-JP" altLang="en-US" sz="1200" i="0">
                  <a:latin typeface="Cambria Math" panose="02040503050406030204" pitchFamily="18" charset="0"/>
                </a:rPr>
                <a:t>𝜋</a:t>
              </a:r>
              <a:r>
                <a:rPr lang="en-US" altLang="ja-JP" sz="1200" b="0" i="0">
                  <a:latin typeface="Cambria Math" panose="02040503050406030204" pitchFamily="18" charset="0"/>
                </a:rPr>
                <a:t> (4𝑙𝑜𝑔𝑒(2𝐷/𝑑)+</a:t>
              </a:r>
              <a:r>
                <a:rPr lang="ja-JP" altLang="en-US" sz="1200" b="0" i="0">
                  <a:latin typeface="Cambria Math" panose="02040503050406030204" pitchFamily="18" charset="0"/>
                </a:rPr>
                <a:t>𝜇</a:t>
              </a:r>
              <a:r>
                <a:rPr lang="en-US" altLang="ja-JP" sz="1200" b="0" i="0">
                  <a:latin typeface="Cambria Math" panose="02040503050406030204" pitchFamily="18" charset="0"/>
                </a:rPr>
                <a:t>)</a:t>
              </a:r>
              <a:endParaRPr lang="en-US" altLang="ja-JP" sz="1200" b="0"/>
            </a:p>
            <a:p xmlns:a="http://schemas.openxmlformats.org/drawingml/2006/main">
              <a:r>
                <a:rPr lang="en-US" altLang="ja-JP" sz="1200"/>
                <a:t>D: Distance of conductor</a:t>
              </a:r>
            </a:p>
            <a:p xmlns:a="http://schemas.openxmlformats.org/drawingml/2006/main">
              <a:r>
                <a:rPr lang="en-US" altLang="ja-JP" sz="1200"/>
                <a:t>d: Equivalent</a:t>
              </a:r>
              <a:r>
                <a:rPr lang="en-US" altLang="ja-JP" sz="1200" baseline="0"/>
                <a:t> diameter of conductor</a:t>
              </a:r>
              <a:endParaRPr lang="ja-JP" altLang="en-US" sz="1200"/>
            </a:p>
          </cdr:txBody>
        </cdr:sp>
      </mc:Fallback>
    </mc:AlternateContent>
  </cdr:relSizeAnchor>
</c:userShapes>
</file>

<file path=xl/drawings/drawing6.xml><?xml version="1.0" encoding="utf-8"?>
<c:userShapes xmlns:c="http://schemas.openxmlformats.org/drawingml/2006/chart">
  <cdr:relSizeAnchor xmlns:cdr="http://schemas.openxmlformats.org/drawingml/2006/chartDrawing">
    <cdr:from>
      <cdr:x>0.04568</cdr:x>
      <cdr:y>0.01698</cdr:y>
    </cdr:from>
    <cdr:to>
      <cdr:x>0.96486</cdr:x>
      <cdr:y>0.06792</cdr:y>
    </cdr:to>
    <cdr:sp macro="" textlink="">
      <cdr:nvSpPr>
        <cdr:cNvPr id="2" name="テキスト ボックス 1">
          <a:extLst xmlns:a="http://schemas.openxmlformats.org/drawingml/2006/main">
            <a:ext uri="{FF2B5EF4-FFF2-40B4-BE49-F238E27FC236}">
              <a16:creationId xmlns:a16="http://schemas.microsoft.com/office/drawing/2014/main" id="{55D7E36F-E2ED-4439-9B9D-4DEDB35E287E}"/>
            </a:ext>
          </a:extLst>
        </cdr:cNvPr>
        <cdr:cNvSpPr txBox="1"/>
      </cdr:nvSpPr>
      <cdr:spPr>
        <a:xfrm xmlns:a="http://schemas.openxmlformats.org/drawingml/2006/main">
          <a:off x="309563" y="85725"/>
          <a:ext cx="622935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0.10752</cdr:x>
      <cdr:y>0.01698</cdr:y>
    </cdr:from>
    <cdr:to>
      <cdr:x>0.98173</cdr:x>
      <cdr:y>0.09811</cdr:y>
    </cdr:to>
    <cdr:sp macro="" textlink="">
      <cdr:nvSpPr>
        <cdr:cNvPr id="3" name="テキスト ボックス 2">
          <a:extLst xmlns:a="http://schemas.openxmlformats.org/drawingml/2006/main">
            <a:ext uri="{FF2B5EF4-FFF2-40B4-BE49-F238E27FC236}">
              <a16:creationId xmlns:a16="http://schemas.microsoft.com/office/drawing/2014/main" id="{CC051A7E-697A-4606-86FB-E49756BDF20D}"/>
            </a:ext>
          </a:extLst>
        </cdr:cNvPr>
        <cdr:cNvSpPr txBox="1"/>
      </cdr:nvSpPr>
      <cdr:spPr>
        <a:xfrm xmlns:a="http://schemas.openxmlformats.org/drawingml/2006/main">
          <a:off x="728663" y="85725"/>
          <a:ext cx="5924550" cy="4095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050">
              <a:latin typeface="Arial" panose="020B0604020202020204" pitchFamily="34" charset="0"/>
              <a:cs typeface="Arial" panose="020B0604020202020204" pitchFamily="34" charset="0"/>
            </a:rPr>
            <a:t>Characteristic Impedance</a:t>
          </a:r>
          <a:r>
            <a:rPr lang="en-US" altLang="ja-JP" sz="1050" baseline="0">
              <a:latin typeface="Arial" panose="020B0604020202020204" pitchFamily="34" charset="0"/>
              <a:cs typeface="Arial" panose="020B0604020202020204" pitchFamily="34" charset="0"/>
            </a:rPr>
            <a:t>, Initial (Zci) &amp; Aged (Zca) Data of Quabbin Cat5, 24AWG(7/32AWG)</a:t>
          </a:r>
        </a:p>
        <a:p xmlns:a="http://schemas.openxmlformats.org/drawingml/2006/main">
          <a:r>
            <a:rPr lang="en-US" altLang="ja-JP" sz="1050" baseline="0">
              <a:latin typeface="Arial" panose="020B0604020202020204" pitchFamily="34" charset="0"/>
              <a:cs typeface="Arial" panose="020B0604020202020204" pitchFamily="34" charset="0"/>
            </a:rPr>
            <a:t>Tinned Cu, HDPE Insulation, UTP, PVC Jacket, Stored (Aged) on a real for 23 Years</a:t>
          </a:r>
          <a:endParaRPr lang="ja-JP" altLang="en-US" sz="105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0.08081</cdr:x>
      <cdr:y>0.02893</cdr:y>
    </cdr:from>
    <cdr:to>
      <cdr:x>0.95748</cdr:x>
      <cdr:y>0.11006</cdr:y>
    </cdr:to>
    <cdr:sp macro="" textlink="">
      <cdr:nvSpPr>
        <cdr:cNvPr id="2" name="テキスト ボックス 1">
          <a:extLst xmlns:a="http://schemas.openxmlformats.org/drawingml/2006/main">
            <a:ext uri="{FF2B5EF4-FFF2-40B4-BE49-F238E27FC236}">
              <a16:creationId xmlns:a16="http://schemas.microsoft.com/office/drawing/2014/main" id="{50B8F168-056D-48B8-9E2C-AADA8D013E25}"/>
            </a:ext>
          </a:extLst>
        </cdr:cNvPr>
        <cdr:cNvSpPr txBox="1"/>
      </cdr:nvSpPr>
      <cdr:spPr>
        <a:xfrm xmlns:a="http://schemas.openxmlformats.org/drawingml/2006/main">
          <a:off x="546100" y="146050"/>
          <a:ext cx="5924550" cy="4095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50" baseline="0">
              <a:latin typeface="Arial" panose="020B0604020202020204" pitchFamily="34" charset="0"/>
              <a:cs typeface="Arial" panose="020B0604020202020204" pitchFamily="34" charset="0"/>
            </a:rPr>
            <a:t>Complex Zc data (1KHz-1000MHz), Initial (Zci) &amp; Aged (Zca) Data of Quabbin Cat5, 24AWG</a:t>
          </a:r>
        </a:p>
        <a:p xmlns:a="http://schemas.openxmlformats.org/drawingml/2006/main">
          <a:r>
            <a:rPr lang="en-US" altLang="ja-JP" sz="1050" baseline="0">
              <a:latin typeface="Arial" panose="020B0604020202020204" pitchFamily="34" charset="0"/>
              <a:cs typeface="Arial" panose="020B0604020202020204" pitchFamily="34" charset="0"/>
            </a:rPr>
            <a:t>(7/32AWG) Tinned Cu, HDPE Insulation, UTP, PVC Jacket, Stored (Aged) on a real for 23 Years</a:t>
          </a:r>
          <a:endParaRPr lang="ja-JP" altLang="en-US"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0.49542</cdr:x>
      <cdr:y>0.20566</cdr:y>
    </cdr:from>
    <cdr:to>
      <cdr:x>0.70402</cdr:x>
      <cdr:y>0.52075</cdr:y>
    </cdr:to>
    <cdr:cxnSp macro="">
      <cdr:nvCxnSpPr>
        <cdr:cNvPr id="4" name="コネクタ: 曲線 3">
          <a:extLst xmlns:a="http://schemas.openxmlformats.org/drawingml/2006/main">
            <a:ext uri="{FF2B5EF4-FFF2-40B4-BE49-F238E27FC236}">
              <a16:creationId xmlns:a16="http://schemas.microsoft.com/office/drawing/2014/main" id="{D3AC5D98-CF37-4594-92D5-23940AE8B018}"/>
            </a:ext>
          </a:extLst>
        </cdr:cNvPr>
        <cdr:cNvCxnSpPr/>
      </cdr:nvCxnSpPr>
      <cdr:spPr>
        <a:xfrm xmlns:a="http://schemas.openxmlformats.org/drawingml/2006/main" rot="5400000">
          <a:off x="3257552" y="1128713"/>
          <a:ext cx="1590675" cy="1409700"/>
        </a:xfrm>
        <a:prstGeom xmlns:a="http://schemas.openxmlformats.org/drawingml/2006/main" prst="curvedConnector3">
          <a:avLst>
            <a:gd name="adj1" fmla="val 59581"/>
          </a:avLst>
        </a:prstGeom>
        <a:ln xmlns:a="http://schemas.openxmlformats.org/drawingml/2006/main">
          <a:solidFill>
            <a:srgbClr val="00B05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0.56342</cdr:x>
      <cdr:y>0.35849</cdr:y>
    </cdr:from>
    <cdr:to>
      <cdr:x>0.69415</cdr:x>
      <cdr:y>0.40377</cdr:y>
    </cdr:to>
    <cdr:sp macro="" textlink="">
      <cdr:nvSpPr>
        <cdr:cNvPr id="6" name="テキスト ボックス 5">
          <a:extLst xmlns:a="http://schemas.openxmlformats.org/drawingml/2006/main">
            <a:ext uri="{FF2B5EF4-FFF2-40B4-BE49-F238E27FC236}">
              <a16:creationId xmlns:a16="http://schemas.microsoft.com/office/drawing/2014/main" id="{4D9DA6F1-2D6D-458A-81B7-7AD244D0FEB8}"/>
            </a:ext>
          </a:extLst>
        </cdr:cNvPr>
        <cdr:cNvSpPr txBox="1"/>
      </cdr:nvSpPr>
      <cdr:spPr>
        <a:xfrm xmlns:a="http://schemas.openxmlformats.org/drawingml/2006/main">
          <a:off x="3807619" y="1809750"/>
          <a:ext cx="883446" cy="228601"/>
        </a:xfrm>
        <a:prstGeom xmlns:a="http://schemas.openxmlformats.org/drawingml/2006/main" prst="rect">
          <a:avLst/>
        </a:prstGeom>
        <a:solidFill xmlns:a="http://schemas.openxmlformats.org/drawingml/2006/main">
          <a:schemeClr val="bg1"/>
        </a:solidFill>
        <a:ln xmlns:a="http://schemas.openxmlformats.org/drawingml/2006/main" w="19050">
          <a:solidFill>
            <a:srgbClr val="00B050"/>
          </a:solidFill>
        </a:ln>
      </cdr:spPr>
      <cdr:txBody>
        <a:bodyPr xmlns:a="http://schemas.openxmlformats.org/drawingml/2006/main" vertOverflow="clip" wrap="square" rtlCol="0"/>
        <a:lstStyle xmlns:a="http://schemas.openxmlformats.org/drawingml/2006/main"/>
        <a:p xmlns:a="http://schemas.openxmlformats.org/drawingml/2006/main">
          <a:r>
            <a:rPr lang="en-US" altLang="ja-JP" sz="1100">
              <a:solidFill>
                <a:srgbClr val="00B050"/>
              </a:solidFill>
            </a:rPr>
            <a:t>Angle of Zc</a:t>
          </a:r>
          <a:endParaRPr lang="ja-JP" altLang="en-US" sz="1100">
            <a:solidFill>
              <a:srgbClr val="00B050"/>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inos@crocus.ocn.ne.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B794-E092-45DB-92C9-329E448ACE97}">
  <sheetPr>
    <pageSetUpPr fitToPage="1"/>
  </sheetPr>
  <dimension ref="B1:G25"/>
  <sheetViews>
    <sheetView tabSelected="1" workbookViewId="0">
      <selection activeCell="G1" sqref="G1"/>
    </sheetView>
  </sheetViews>
  <sheetFormatPr defaultRowHeight="12.5"/>
  <cols>
    <col min="1" max="1" width="2.453125" style="27" customWidth="1"/>
    <col min="2" max="2" width="3.81640625" style="27" customWidth="1"/>
    <col min="3" max="3" width="11.6328125" style="27" customWidth="1"/>
    <col min="4" max="4" width="4.453125" style="27" customWidth="1"/>
    <col min="5" max="5" width="11.36328125" style="27" customWidth="1"/>
    <col min="6" max="6" width="26.90625" style="27" customWidth="1"/>
    <col min="7" max="7" width="20.08984375" style="27" customWidth="1"/>
    <col min="8" max="256" width="9" style="27"/>
    <col min="257" max="257" width="2.453125" style="27" customWidth="1"/>
    <col min="258" max="258" width="3.81640625" style="27" customWidth="1"/>
    <col min="259" max="259" width="11.6328125" style="27" customWidth="1"/>
    <col min="260" max="260" width="4.453125" style="27" customWidth="1"/>
    <col min="261" max="261" width="11.36328125" style="27" customWidth="1"/>
    <col min="262" max="262" width="26.90625" style="27" customWidth="1"/>
    <col min="263" max="263" width="20.08984375" style="27" customWidth="1"/>
    <col min="264" max="512" width="9" style="27"/>
    <col min="513" max="513" width="2.453125" style="27" customWidth="1"/>
    <col min="514" max="514" width="3.81640625" style="27" customWidth="1"/>
    <col min="515" max="515" width="11.6328125" style="27" customWidth="1"/>
    <col min="516" max="516" width="4.453125" style="27" customWidth="1"/>
    <col min="517" max="517" width="11.36328125" style="27" customWidth="1"/>
    <col min="518" max="518" width="26.90625" style="27" customWidth="1"/>
    <col min="519" max="519" width="20.08984375" style="27" customWidth="1"/>
    <col min="520" max="768" width="9" style="27"/>
    <col min="769" max="769" width="2.453125" style="27" customWidth="1"/>
    <col min="770" max="770" width="3.81640625" style="27" customWidth="1"/>
    <col min="771" max="771" width="11.6328125" style="27" customWidth="1"/>
    <col min="772" max="772" width="4.453125" style="27" customWidth="1"/>
    <col min="773" max="773" width="11.36328125" style="27" customWidth="1"/>
    <col min="774" max="774" width="26.90625" style="27" customWidth="1"/>
    <col min="775" max="775" width="20.08984375" style="27" customWidth="1"/>
    <col min="776" max="1024" width="9" style="27"/>
    <col min="1025" max="1025" width="2.453125" style="27" customWidth="1"/>
    <col min="1026" max="1026" width="3.81640625" style="27" customWidth="1"/>
    <col min="1027" max="1027" width="11.6328125" style="27" customWidth="1"/>
    <col min="1028" max="1028" width="4.453125" style="27" customWidth="1"/>
    <col min="1029" max="1029" width="11.36328125" style="27" customWidth="1"/>
    <col min="1030" max="1030" width="26.90625" style="27" customWidth="1"/>
    <col min="1031" max="1031" width="20.08984375" style="27" customWidth="1"/>
    <col min="1032" max="1280" width="9" style="27"/>
    <col min="1281" max="1281" width="2.453125" style="27" customWidth="1"/>
    <col min="1282" max="1282" width="3.81640625" style="27" customWidth="1"/>
    <col min="1283" max="1283" width="11.6328125" style="27" customWidth="1"/>
    <col min="1284" max="1284" width="4.453125" style="27" customWidth="1"/>
    <col min="1285" max="1285" width="11.36328125" style="27" customWidth="1"/>
    <col min="1286" max="1286" width="26.90625" style="27" customWidth="1"/>
    <col min="1287" max="1287" width="20.08984375" style="27" customWidth="1"/>
    <col min="1288" max="1536" width="9" style="27"/>
    <col min="1537" max="1537" width="2.453125" style="27" customWidth="1"/>
    <col min="1538" max="1538" width="3.81640625" style="27" customWidth="1"/>
    <col min="1539" max="1539" width="11.6328125" style="27" customWidth="1"/>
    <col min="1540" max="1540" width="4.453125" style="27" customWidth="1"/>
    <col min="1541" max="1541" width="11.36328125" style="27" customWidth="1"/>
    <col min="1542" max="1542" width="26.90625" style="27" customWidth="1"/>
    <col min="1543" max="1543" width="20.08984375" style="27" customWidth="1"/>
    <col min="1544" max="1792" width="9" style="27"/>
    <col min="1793" max="1793" width="2.453125" style="27" customWidth="1"/>
    <col min="1794" max="1794" width="3.81640625" style="27" customWidth="1"/>
    <col min="1795" max="1795" width="11.6328125" style="27" customWidth="1"/>
    <col min="1796" max="1796" width="4.453125" style="27" customWidth="1"/>
    <col min="1797" max="1797" width="11.36328125" style="27" customWidth="1"/>
    <col min="1798" max="1798" width="26.90625" style="27" customWidth="1"/>
    <col min="1799" max="1799" width="20.08984375" style="27" customWidth="1"/>
    <col min="1800" max="2048" width="9" style="27"/>
    <col min="2049" max="2049" width="2.453125" style="27" customWidth="1"/>
    <col min="2050" max="2050" width="3.81640625" style="27" customWidth="1"/>
    <col min="2051" max="2051" width="11.6328125" style="27" customWidth="1"/>
    <col min="2052" max="2052" width="4.453125" style="27" customWidth="1"/>
    <col min="2053" max="2053" width="11.36328125" style="27" customWidth="1"/>
    <col min="2054" max="2054" width="26.90625" style="27" customWidth="1"/>
    <col min="2055" max="2055" width="20.08984375" style="27" customWidth="1"/>
    <col min="2056" max="2304" width="9" style="27"/>
    <col min="2305" max="2305" width="2.453125" style="27" customWidth="1"/>
    <col min="2306" max="2306" width="3.81640625" style="27" customWidth="1"/>
    <col min="2307" max="2307" width="11.6328125" style="27" customWidth="1"/>
    <col min="2308" max="2308" width="4.453125" style="27" customWidth="1"/>
    <col min="2309" max="2309" width="11.36328125" style="27" customWidth="1"/>
    <col min="2310" max="2310" width="26.90625" style="27" customWidth="1"/>
    <col min="2311" max="2311" width="20.08984375" style="27" customWidth="1"/>
    <col min="2312" max="2560" width="9" style="27"/>
    <col min="2561" max="2561" width="2.453125" style="27" customWidth="1"/>
    <col min="2562" max="2562" width="3.81640625" style="27" customWidth="1"/>
    <col min="2563" max="2563" width="11.6328125" style="27" customWidth="1"/>
    <col min="2564" max="2564" width="4.453125" style="27" customWidth="1"/>
    <col min="2565" max="2565" width="11.36328125" style="27" customWidth="1"/>
    <col min="2566" max="2566" width="26.90625" style="27" customWidth="1"/>
    <col min="2567" max="2567" width="20.08984375" style="27" customWidth="1"/>
    <col min="2568" max="2816" width="9" style="27"/>
    <col min="2817" max="2817" width="2.453125" style="27" customWidth="1"/>
    <col min="2818" max="2818" width="3.81640625" style="27" customWidth="1"/>
    <col min="2819" max="2819" width="11.6328125" style="27" customWidth="1"/>
    <col min="2820" max="2820" width="4.453125" style="27" customWidth="1"/>
    <col min="2821" max="2821" width="11.36328125" style="27" customWidth="1"/>
    <col min="2822" max="2822" width="26.90625" style="27" customWidth="1"/>
    <col min="2823" max="2823" width="20.08984375" style="27" customWidth="1"/>
    <col min="2824" max="3072" width="9" style="27"/>
    <col min="3073" max="3073" width="2.453125" style="27" customWidth="1"/>
    <col min="3074" max="3074" width="3.81640625" style="27" customWidth="1"/>
    <col min="3075" max="3075" width="11.6328125" style="27" customWidth="1"/>
    <col min="3076" max="3076" width="4.453125" style="27" customWidth="1"/>
    <col min="3077" max="3077" width="11.36328125" style="27" customWidth="1"/>
    <col min="3078" max="3078" width="26.90625" style="27" customWidth="1"/>
    <col min="3079" max="3079" width="20.08984375" style="27" customWidth="1"/>
    <col min="3080" max="3328" width="9" style="27"/>
    <col min="3329" max="3329" width="2.453125" style="27" customWidth="1"/>
    <col min="3330" max="3330" width="3.81640625" style="27" customWidth="1"/>
    <col min="3331" max="3331" width="11.6328125" style="27" customWidth="1"/>
    <col min="3332" max="3332" width="4.453125" style="27" customWidth="1"/>
    <col min="3333" max="3333" width="11.36328125" style="27" customWidth="1"/>
    <col min="3334" max="3334" width="26.90625" style="27" customWidth="1"/>
    <col min="3335" max="3335" width="20.08984375" style="27" customWidth="1"/>
    <col min="3336" max="3584" width="9" style="27"/>
    <col min="3585" max="3585" width="2.453125" style="27" customWidth="1"/>
    <col min="3586" max="3586" width="3.81640625" style="27" customWidth="1"/>
    <col min="3587" max="3587" width="11.6328125" style="27" customWidth="1"/>
    <col min="3588" max="3588" width="4.453125" style="27" customWidth="1"/>
    <col min="3589" max="3589" width="11.36328125" style="27" customWidth="1"/>
    <col min="3590" max="3590" width="26.90625" style="27" customWidth="1"/>
    <col min="3591" max="3591" width="20.08984375" style="27" customWidth="1"/>
    <col min="3592" max="3840" width="9" style="27"/>
    <col min="3841" max="3841" width="2.453125" style="27" customWidth="1"/>
    <col min="3842" max="3842" width="3.81640625" style="27" customWidth="1"/>
    <col min="3843" max="3843" width="11.6328125" style="27" customWidth="1"/>
    <col min="3844" max="3844" width="4.453125" style="27" customWidth="1"/>
    <col min="3845" max="3845" width="11.36328125" style="27" customWidth="1"/>
    <col min="3846" max="3846" width="26.90625" style="27" customWidth="1"/>
    <col min="3847" max="3847" width="20.08984375" style="27" customWidth="1"/>
    <col min="3848" max="4096" width="9" style="27"/>
    <col min="4097" max="4097" width="2.453125" style="27" customWidth="1"/>
    <col min="4098" max="4098" width="3.81640625" style="27" customWidth="1"/>
    <col min="4099" max="4099" width="11.6328125" style="27" customWidth="1"/>
    <col min="4100" max="4100" width="4.453125" style="27" customWidth="1"/>
    <col min="4101" max="4101" width="11.36328125" style="27" customWidth="1"/>
    <col min="4102" max="4102" width="26.90625" style="27" customWidth="1"/>
    <col min="4103" max="4103" width="20.08984375" style="27" customWidth="1"/>
    <col min="4104" max="4352" width="9" style="27"/>
    <col min="4353" max="4353" width="2.453125" style="27" customWidth="1"/>
    <col min="4354" max="4354" width="3.81640625" style="27" customWidth="1"/>
    <col min="4355" max="4355" width="11.6328125" style="27" customWidth="1"/>
    <col min="4356" max="4356" width="4.453125" style="27" customWidth="1"/>
    <col min="4357" max="4357" width="11.36328125" style="27" customWidth="1"/>
    <col min="4358" max="4358" width="26.90625" style="27" customWidth="1"/>
    <col min="4359" max="4359" width="20.08984375" style="27" customWidth="1"/>
    <col min="4360" max="4608" width="9" style="27"/>
    <col min="4609" max="4609" width="2.453125" style="27" customWidth="1"/>
    <col min="4610" max="4610" width="3.81640625" style="27" customWidth="1"/>
    <col min="4611" max="4611" width="11.6328125" style="27" customWidth="1"/>
    <col min="4612" max="4612" width="4.453125" style="27" customWidth="1"/>
    <col min="4613" max="4613" width="11.36328125" style="27" customWidth="1"/>
    <col min="4614" max="4614" width="26.90625" style="27" customWidth="1"/>
    <col min="4615" max="4615" width="20.08984375" style="27" customWidth="1"/>
    <col min="4616" max="4864" width="9" style="27"/>
    <col min="4865" max="4865" width="2.453125" style="27" customWidth="1"/>
    <col min="4866" max="4866" width="3.81640625" style="27" customWidth="1"/>
    <col min="4867" max="4867" width="11.6328125" style="27" customWidth="1"/>
    <col min="4868" max="4868" width="4.453125" style="27" customWidth="1"/>
    <col min="4869" max="4869" width="11.36328125" style="27" customWidth="1"/>
    <col min="4870" max="4870" width="26.90625" style="27" customWidth="1"/>
    <col min="4871" max="4871" width="20.08984375" style="27" customWidth="1"/>
    <col min="4872" max="5120" width="9" style="27"/>
    <col min="5121" max="5121" width="2.453125" style="27" customWidth="1"/>
    <col min="5122" max="5122" width="3.81640625" style="27" customWidth="1"/>
    <col min="5123" max="5123" width="11.6328125" style="27" customWidth="1"/>
    <col min="5124" max="5124" width="4.453125" style="27" customWidth="1"/>
    <col min="5125" max="5125" width="11.36328125" style="27" customWidth="1"/>
    <col min="5126" max="5126" width="26.90625" style="27" customWidth="1"/>
    <col min="5127" max="5127" width="20.08984375" style="27" customWidth="1"/>
    <col min="5128" max="5376" width="9" style="27"/>
    <col min="5377" max="5377" width="2.453125" style="27" customWidth="1"/>
    <col min="5378" max="5378" width="3.81640625" style="27" customWidth="1"/>
    <col min="5379" max="5379" width="11.6328125" style="27" customWidth="1"/>
    <col min="5380" max="5380" width="4.453125" style="27" customWidth="1"/>
    <col min="5381" max="5381" width="11.36328125" style="27" customWidth="1"/>
    <col min="5382" max="5382" width="26.90625" style="27" customWidth="1"/>
    <col min="5383" max="5383" width="20.08984375" style="27" customWidth="1"/>
    <col min="5384" max="5632" width="9" style="27"/>
    <col min="5633" max="5633" width="2.453125" style="27" customWidth="1"/>
    <col min="5634" max="5634" width="3.81640625" style="27" customWidth="1"/>
    <col min="5635" max="5635" width="11.6328125" style="27" customWidth="1"/>
    <col min="5636" max="5636" width="4.453125" style="27" customWidth="1"/>
    <col min="5637" max="5637" width="11.36328125" style="27" customWidth="1"/>
    <col min="5638" max="5638" width="26.90625" style="27" customWidth="1"/>
    <col min="5639" max="5639" width="20.08984375" style="27" customWidth="1"/>
    <col min="5640" max="5888" width="9" style="27"/>
    <col min="5889" max="5889" width="2.453125" style="27" customWidth="1"/>
    <col min="5890" max="5890" width="3.81640625" style="27" customWidth="1"/>
    <col min="5891" max="5891" width="11.6328125" style="27" customWidth="1"/>
    <col min="5892" max="5892" width="4.453125" style="27" customWidth="1"/>
    <col min="5893" max="5893" width="11.36328125" style="27" customWidth="1"/>
    <col min="5894" max="5894" width="26.90625" style="27" customWidth="1"/>
    <col min="5895" max="5895" width="20.08984375" style="27" customWidth="1"/>
    <col min="5896" max="6144" width="9" style="27"/>
    <col min="6145" max="6145" width="2.453125" style="27" customWidth="1"/>
    <col min="6146" max="6146" width="3.81640625" style="27" customWidth="1"/>
    <col min="6147" max="6147" width="11.6328125" style="27" customWidth="1"/>
    <col min="6148" max="6148" width="4.453125" style="27" customWidth="1"/>
    <col min="6149" max="6149" width="11.36328125" style="27" customWidth="1"/>
    <col min="6150" max="6150" width="26.90625" style="27" customWidth="1"/>
    <col min="6151" max="6151" width="20.08984375" style="27" customWidth="1"/>
    <col min="6152" max="6400" width="9" style="27"/>
    <col min="6401" max="6401" width="2.453125" style="27" customWidth="1"/>
    <col min="6402" max="6402" width="3.81640625" style="27" customWidth="1"/>
    <col min="6403" max="6403" width="11.6328125" style="27" customWidth="1"/>
    <col min="6404" max="6404" width="4.453125" style="27" customWidth="1"/>
    <col min="6405" max="6405" width="11.36328125" style="27" customWidth="1"/>
    <col min="6406" max="6406" width="26.90625" style="27" customWidth="1"/>
    <col min="6407" max="6407" width="20.08984375" style="27" customWidth="1"/>
    <col min="6408" max="6656" width="9" style="27"/>
    <col min="6657" max="6657" width="2.453125" style="27" customWidth="1"/>
    <col min="6658" max="6658" width="3.81640625" style="27" customWidth="1"/>
    <col min="6659" max="6659" width="11.6328125" style="27" customWidth="1"/>
    <col min="6660" max="6660" width="4.453125" style="27" customWidth="1"/>
    <col min="6661" max="6661" width="11.36328125" style="27" customWidth="1"/>
    <col min="6662" max="6662" width="26.90625" style="27" customWidth="1"/>
    <col min="6663" max="6663" width="20.08984375" style="27" customWidth="1"/>
    <col min="6664" max="6912" width="9" style="27"/>
    <col min="6913" max="6913" width="2.453125" style="27" customWidth="1"/>
    <col min="6914" max="6914" width="3.81640625" style="27" customWidth="1"/>
    <col min="6915" max="6915" width="11.6328125" style="27" customWidth="1"/>
    <col min="6916" max="6916" width="4.453125" style="27" customWidth="1"/>
    <col min="6917" max="6917" width="11.36328125" style="27" customWidth="1"/>
    <col min="6918" max="6918" width="26.90625" style="27" customWidth="1"/>
    <col min="6919" max="6919" width="20.08984375" style="27" customWidth="1"/>
    <col min="6920" max="7168" width="9" style="27"/>
    <col min="7169" max="7169" width="2.453125" style="27" customWidth="1"/>
    <col min="7170" max="7170" width="3.81640625" style="27" customWidth="1"/>
    <col min="7171" max="7171" width="11.6328125" style="27" customWidth="1"/>
    <col min="7172" max="7172" width="4.453125" style="27" customWidth="1"/>
    <col min="7173" max="7173" width="11.36328125" style="27" customWidth="1"/>
    <col min="7174" max="7174" width="26.90625" style="27" customWidth="1"/>
    <col min="7175" max="7175" width="20.08984375" style="27" customWidth="1"/>
    <col min="7176" max="7424" width="9" style="27"/>
    <col min="7425" max="7425" width="2.453125" style="27" customWidth="1"/>
    <col min="7426" max="7426" width="3.81640625" style="27" customWidth="1"/>
    <col min="7427" max="7427" width="11.6328125" style="27" customWidth="1"/>
    <col min="7428" max="7428" width="4.453125" style="27" customWidth="1"/>
    <col min="7429" max="7429" width="11.36328125" style="27" customWidth="1"/>
    <col min="7430" max="7430" width="26.90625" style="27" customWidth="1"/>
    <col min="7431" max="7431" width="20.08984375" style="27" customWidth="1"/>
    <col min="7432" max="7680" width="9" style="27"/>
    <col min="7681" max="7681" width="2.453125" style="27" customWidth="1"/>
    <col min="7682" max="7682" width="3.81640625" style="27" customWidth="1"/>
    <col min="7683" max="7683" width="11.6328125" style="27" customWidth="1"/>
    <col min="7684" max="7684" width="4.453125" style="27" customWidth="1"/>
    <col min="7685" max="7685" width="11.36328125" style="27" customWidth="1"/>
    <col min="7686" max="7686" width="26.90625" style="27" customWidth="1"/>
    <col min="7687" max="7687" width="20.08984375" style="27" customWidth="1"/>
    <col min="7688" max="7936" width="9" style="27"/>
    <col min="7937" max="7937" width="2.453125" style="27" customWidth="1"/>
    <col min="7938" max="7938" width="3.81640625" style="27" customWidth="1"/>
    <col min="7939" max="7939" width="11.6328125" style="27" customWidth="1"/>
    <col min="7940" max="7940" width="4.453125" style="27" customWidth="1"/>
    <col min="7941" max="7941" width="11.36328125" style="27" customWidth="1"/>
    <col min="7942" max="7942" width="26.90625" style="27" customWidth="1"/>
    <col min="7943" max="7943" width="20.08984375" style="27" customWidth="1"/>
    <col min="7944" max="8192" width="9" style="27"/>
    <col min="8193" max="8193" width="2.453125" style="27" customWidth="1"/>
    <col min="8194" max="8194" width="3.81640625" style="27" customWidth="1"/>
    <col min="8195" max="8195" width="11.6328125" style="27" customWidth="1"/>
    <col min="8196" max="8196" width="4.453125" style="27" customWidth="1"/>
    <col min="8197" max="8197" width="11.36328125" style="27" customWidth="1"/>
    <col min="8198" max="8198" width="26.90625" style="27" customWidth="1"/>
    <col min="8199" max="8199" width="20.08984375" style="27" customWidth="1"/>
    <col min="8200" max="8448" width="9" style="27"/>
    <col min="8449" max="8449" width="2.453125" style="27" customWidth="1"/>
    <col min="8450" max="8450" width="3.81640625" style="27" customWidth="1"/>
    <col min="8451" max="8451" width="11.6328125" style="27" customWidth="1"/>
    <col min="8452" max="8452" width="4.453125" style="27" customWidth="1"/>
    <col min="8453" max="8453" width="11.36328125" style="27" customWidth="1"/>
    <col min="8454" max="8454" width="26.90625" style="27" customWidth="1"/>
    <col min="8455" max="8455" width="20.08984375" style="27" customWidth="1"/>
    <col min="8456" max="8704" width="9" style="27"/>
    <col min="8705" max="8705" width="2.453125" style="27" customWidth="1"/>
    <col min="8706" max="8706" width="3.81640625" style="27" customWidth="1"/>
    <col min="8707" max="8707" width="11.6328125" style="27" customWidth="1"/>
    <col min="8708" max="8708" width="4.453125" style="27" customWidth="1"/>
    <col min="8709" max="8709" width="11.36328125" style="27" customWidth="1"/>
    <col min="8710" max="8710" width="26.90625" style="27" customWidth="1"/>
    <col min="8711" max="8711" width="20.08984375" style="27" customWidth="1"/>
    <col min="8712" max="8960" width="9" style="27"/>
    <col min="8961" max="8961" width="2.453125" style="27" customWidth="1"/>
    <col min="8962" max="8962" width="3.81640625" style="27" customWidth="1"/>
    <col min="8963" max="8963" width="11.6328125" style="27" customWidth="1"/>
    <col min="8964" max="8964" width="4.453125" style="27" customWidth="1"/>
    <col min="8965" max="8965" width="11.36328125" style="27" customWidth="1"/>
    <col min="8966" max="8966" width="26.90625" style="27" customWidth="1"/>
    <col min="8967" max="8967" width="20.08984375" style="27" customWidth="1"/>
    <col min="8968" max="9216" width="9" style="27"/>
    <col min="9217" max="9217" width="2.453125" style="27" customWidth="1"/>
    <col min="9218" max="9218" width="3.81640625" style="27" customWidth="1"/>
    <col min="9219" max="9219" width="11.6328125" style="27" customWidth="1"/>
    <col min="9220" max="9220" width="4.453125" style="27" customWidth="1"/>
    <col min="9221" max="9221" width="11.36328125" style="27" customWidth="1"/>
    <col min="9222" max="9222" width="26.90625" style="27" customWidth="1"/>
    <col min="9223" max="9223" width="20.08984375" style="27" customWidth="1"/>
    <col min="9224" max="9472" width="9" style="27"/>
    <col min="9473" max="9473" width="2.453125" style="27" customWidth="1"/>
    <col min="9474" max="9474" width="3.81640625" style="27" customWidth="1"/>
    <col min="9475" max="9475" width="11.6328125" style="27" customWidth="1"/>
    <col min="9476" max="9476" width="4.453125" style="27" customWidth="1"/>
    <col min="9477" max="9477" width="11.36328125" style="27" customWidth="1"/>
    <col min="9478" max="9478" width="26.90625" style="27" customWidth="1"/>
    <col min="9479" max="9479" width="20.08984375" style="27" customWidth="1"/>
    <col min="9480" max="9728" width="9" style="27"/>
    <col min="9729" max="9729" width="2.453125" style="27" customWidth="1"/>
    <col min="9730" max="9730" width="3.81640625" style="27" customWidth="1"/>
    <col min="9731" max="9731" width="11.6328125" style="27" customWidth="1"/>
    <col min="9732" max="9732" width="4.453125" style="27" customWidth="1"/>
    <col min="9733" max="9733" width="11.36328125" style="27" customWidth="1"/>
    <col min="9734" max="9734" width="26.90625" style="27" customWidth="1"/>
    <col min="9735" max="9735" width="20.08984375" style="27" customWidth="1"/>
    <col min="9736" max="9984" width="9" style="27"/>
    <col min="9985" max="9985" width="2.453125" style="27" customWidth="1"/>
    <col min="9986" max="9986" width="3.81640625" style="27" customWidth="1"/>
    <col min="9987" max="9987" width="11.6328125" style="27" customWidth="1"/>
    <col min="9988" max="9988" width="4.453125" style="27" customWidth="1"/>
    <col min="9989" max="9989" width="11.36328125" style="27" customWidth="1"/>
    <col min="9990" max="9990" width="26.90625" style="27" customWidth="1"/>
    <col min="9991" max="9991" width="20.08984375" style="27" customWidth="1"/>
    <col min="9992" max="10240" width="9" style="27"/>
    <col min="10241" max="10241" width="2.453125" style="27" customWidth="1"/>
    <col min="10242" max="10242" width="3.81640625" style="27" customWidth="1"/>
    <col min="10243" max="10243" width="11.6328125" style="27" customWidth="1"/>
    <col min="10244" max="10244" width="4.453125" style="27" customWidth="1"/>
    <col min="10245" max="10245" width="11.36328125" style="27" customWidth="1"/>
    <col min="10246" max="10246" width="26.90625" style="27" customWidth="1"/>
    <col min="10247" max="10247" width="20.08984375" style="27" customWidth="1"/>
    <col min="10248" max="10496" width="9" style="27"/>
    <col min="10497" max="10497" width="2.453125" style="27" customWidth="1"/>
    <col min="10498" max="10498" width="3.81640625" style="27" customWidth="1"/>
    <col min="10499" max="10499" width="11.6328125" style="27" customWidth="1"/>
    <col min="10500" max="10500" width="4.453125" style="27" customWidth="1"/>
    <col min="10501" max="10501" width="11.36328125" style="27" customWidth="1"/>
    <col min="10502" max="10502" width="26.90625" style="27" customWidth="1"/>
    <col min="10503" max="10503" width="20.08984375" style="27" customWidth="1"/>
    <col min="10504" max="10752" width="9" style="27"/>
    <col min="10753" max="10753" width="2.453125" style="27" customWidth="1"/>
    <col min="10754" max="10754" width="3.81640625" style="27" customWidth="1"/>
    <col min="10755" max="10755" width="11.6328125" style="27" customWidth="1"/>
    <col min="10756" max="10756" width="4.453125" style="27" customWidth="1"/>
    <col min="10757" max="10757" width="11.36328125" style="27" customWidth="1"/>
    <col min="10758" max="10758" width="26.90625" style="27" customWidth="1"/>
    <col min="10759" max="10759" width="20.08984375" style="27" customWidth="1"/>
    <col min="10760" max="11008" width="9" style="27"/>
    <col min="11009" max="11009" width="2.453125" style="27" customWidth="1"/>
    <col min="11010" max="11010" width="3.81640625" style="27" customWidth="1"/>
    <col min="11011" max="11011" width="11.6328125" style="27" customWidth="1"/>
    <col min="11012" max="11012" width="4.453125" style="27" customWidth="1"/>
    <col min="11013" max="11013" width="11.36328125" style="27" customWidth="1"/>
    <col min="11014" max="11014" width="26.90625" style="27" customWidth="1"/>
    <col min="11015" max="11015" width="20.08984375" style="27" customWidth="1"/>
    <col min="11016" max="11264" width="9" style="27"/>
    <col min="11265" max="11265" width="2.453125" style="27" customWidth="1"/>
    <col min="11266" max="11266" width="3.81640625" style="27" customWidth="1"/>
    <col min="11267" max="11267" width="11.6328125" style="27" customWidth="1"/>
    <col min="11268" max="11268" width="4.453125" style="27" customWidth="1"/>
    <col min="11269" max="11269" width="11.36328125" style="27" customWidth="1"/>
    <col min="11270" max="11270" width="26.90625" style="27" customWidth="1"/>
    <col min="11271" max="11271" width="20.08984375" style="27" customWidth="1"/>
    <col min="11272" max="11520" width="9" style="27"/>
    <col min="11521" max="11521" width="2.453125" style="27" customWidth="1"/>
    <col min="11522" max="11522" width="3.81640625" style="27" customWidth="1"/>
    <col min="11523" max="11523" width="11.6328125" style="27" customWidth="1"/>
    <col min="11524" max="11524" width="4.453125" style="27" customWidth="1"/>
    <col min="11525" max="11525" width="11.36328125" style="27" customWidth="1"/>
    <col min="11526" max="11526" width="26.90625" style="27" customWidth="1"/>
    <col min="11527" max="11527" width="20.08984375" style="27" customWidth="1"/>
    <col min="11528" max="11776" width="9" style="27"/>
    <col min="11777" max="11777" width="2.453125" style="27" customWidth="1"/>
    <col min="11778" max="11778" width="3.81640625" style="27" customWidth="1"/>
    <col min="11779" max="11779" width="11.6328125" style="27" customWidth="1"/>
    <col min="11780" max="11780" width="4.453125" style="27" customWidth="1"/>
    <col min="11781" max="11781" width="11.36328125" style="27" customWidth="1"/>
    <col min="11782" max="11782" width="26.90625" style="27" customWidth="1"/>
    <col min="11783" max="11783" width="20.08984375" style="27" customWidth="1"/>
    <col min="11784" max="12032" width="9" style="27"/>
    <col min="12033" max="12033" width="2.453125" style="27" customWidth="1"/>
    <col min="12034" max="12034" width="3.81640625" style="27" customWidth="1"/>
    <col min="12035" max="12035" width="11.6328125" style="27" customWidth="1"/>
    <col min="12036" max="12036" width="4.453125" style="27" customWidth="1"/>
    <col min="12037" max="12037" width="11.36328125" style="27" customWidth="1"/>
    <col min="12038" max="12038" width="26.90625" style="27" customWidth="1"/>
    <col min="12039" max="12039" width="20.08984375" style="27" customWidth="1"/>
    <col min="12040" max="12288" width="9" style="27"/>
    <col min="12289" max="12289" width="2.453125" style="27" customWidth="1"/>
    <col min="12290" max="12290" width="3.81640625" style="27" customWidth="1"/>
    <col min="12291" max="12291" width="11.6328125" style="27" customWidth="1"/>
    <col min="12292" max="12292" width="4.453125" style="27" customWidth="1"/>
    <col min="12293" max="12293" width="11.36328125" style="27" customWidth="1"/>
    <col min="12294" max="12294" width="26.90625" style="27" customWidth="1"/>
    <col min="12295" max="12295" width="20.08984375" style="27" customWidth="1"/>
    <col min="12296" max="12544" width="9" style="27"/>
    <col min="12545" max="12545" width="2.453125" style="27" customWidth="1"/>
    <col min="12546" max="12546" width="3.81640625" style="27" customWidth="1"/>
    <col min="12547" max="12547" width="11.6328125" style="27" customWidth="1"/>
    <col min="12548" max="12548" width="4.453125" style="27" customWidth="1"/>
    <col min="12549" max="12549" width="11.36328125" style="27" customWidth="1"/>
    <col min="12550" max="12550" width="26.90625" style="27" customWidth="1"/>
    <col min="12551" max="12551" width="20.08984375" style="27" customWidth="1"/>
    <col min="12552" max="12800" width="9" style="27"/>
    <col min="12801" max="12801" width="2.453125" style="27" customWidth="1"/>
    <col min="12802" max="12802" width="3.81640625" style="27" customWidth="1"/>
    <col min="12803" max="12803" width="11.6328125" style="27" customWidth="1"/>
    <col min="12804" max="12804" width="4.453125" style="27" customWidth="1"/>
    <col min="12805" max="12805" width="11.36328125" style="27" customWidth="1"/>
    <col min="12806" max="12806" width="26.90625" style="27" customWidth="1"/>
    <col min="12807" max="12807" width="20.08984375" style="27" customWidth="1"/>
    <col min="12808" max="13056" width="9" style="27"/>
    <col min="13057" max="13057" width="2.453125" style="27" customWidth="1"/>
    <col min="13058" max="13058" width="3.81640625" style="27" customWidth="1"/>
    <col min="13059" max="13059" width="11.6328125" style="27" customWidth="1"/>
    <col min="13060" max="13060" width="4.453125" style="27" customWidth="1"/>
    <col min="13061" max="13061" width="11.36328125" style="27" customWidth="1"/>
    <col min="13062" max="13062" width="26.90625" style="27" customWidth="1"/>
    <col min="13063" max="13063" width="20.08984375" style="27" customWidth="1"/>
    <col min="13064" max="13312" width="9" style="27"/>
    <col min="13313" max="13313" width="2.453125" style="27" customWidth="1"/>
    <col min="13314" max="13314" width="3.81640625" style="27" customWidth="1"/>
    <col min="13315" max="13315" width="11.6328125" style="27" customWidth="1"/>
    <col min="13316" max="13316" width="4.453125" style="27" customWidth="1"/>
    <col min="13317" max="13317" width="11.36328125" style="27" customWidth="1"/>
    <col min="13318" max="13318" width="26.90625" style="27" customWidth="1"/>
    <col min="13319" max="13319" width="20.08984375" style="27" customWidth="1"/>
    <col min="13320" max="13568" width="9" style="27"/>
    <col min="13569" max="13569" width="2.453125" style="27" customWidth="1"/>
    <col min="13570" max="13570" width="3.81640625" style="27" customWidth="1"/>
    <col min="13571" max="13571" width="11.6328125" style="27" customWidth="1"/>
    <col min="13572" max="13572" width="4.453125" style="27" customWidth="1"/>
    <col min="13573" max="13573" width="11.36328125" style="27" customWidth="1"/>
    <col min="13574" max="13574" width="26.90625" style="27" customWidth="1"/>
    <col min="13575" max="13575" width="20.08984375" style="27" customWidth="1"/>
    <col min="13576" max="13824" width="9" style="27"/>
    <col min="13825" max="13825" width="2.453125" style="27" customWidth="1"/>
    <col min="13826" max="13826" width="3.81640625" style="27" customWidth="1"/>
    <col min="13827" max="13827" width="11.6328125" style="27" customWidth="1"/>
    <col min="13828" max="13828" width="4.453125" style="27" customWidth="1"/>
    <col min="13829" max="13829" width="11.36328125" style="27" customWidth="1"/>
    <col min="13830" max="13830" width="26.90625" style="27" customWidth="1"/>
    <col min="13831" max="13831" width="20.08984375" style="27" customWidth="1"/>
    <col min="13832" max="14080" width="9" style="27"/>
    <col min="14081" max="14081" width="2.453125" style="27" customWidth="1"/>
    <col min="14082" max="14082" width="3.81640625" style="27" customWidth="1"/>
    <col min="14083" max="14083" width="11.6328125" style="27" customWidth="1"/>
    <col min="14084" max="14084" width="4.453125" style="27" customWidth="1"/>
    <col min="14085" max="14085" width="11.36328125" style="27" customWidth="1"/>
    <col min="14086" max="14086" width="26.90625" style="27" customWidth="1"/>
    <col min="14087" max="14087" width="20.08984375" style="27" customWidth="1"/>
    <col min="14088" max="14336" width="9" style="27"/>
    <col min="14337" max="14337" width="2.453125" style="27" customWidth="1"/>
    <col min="14338" max="14338" width="3.81640625" style="27" customWidth="1"/>
    <col min="14339" max="14339" width="11.6328125" style="27" customWidth="1"/>
    <col min="14340" max="14340" width="4.453125" style="27" customWidth="1"/>
    <col min="14341" max="14341" width="11.36328125" style="27" customWidth="1"/>
    <col min="14342" max="14342" width="26.90625" style="27" customWidth="1"/>
    <col min="14343" max="14343" width="20.08984375" style="27" customWidth="1"/>
    <col min="14344" max="14592" width="9" style="27"/>
    <col min="14593" max="14593" width="2.453125" style="27" customWidth="1"/>
    <col min="14594" max="14594" width="3.81640625" style="27" customWidth="1"/>
    <col min="14595" max="14595" width="11.6328125" style="27" customWidth="1"/>
    <col min="14596" max="14596" width="4.453125" style="27" customWidth="1"/>
    <col min="14597" max="14597" width="11.36328125" style="27" customWidth="1"/>
    <col min="14598" max="14598" width="26.90625" style="27" customWidth="1"/>
    <col min="14599" max="14599" width="20.08984375" style="27" customWidth="1"/>
    <col min="14600" max="14848" width="9" style="27"/>
    <col min="14849" max="14849" width="2.453125" style="27" customWidth="1"/>
    <col min="14850" max="14850" width="3.81640625" style="27" customWidth="1"/>
    <col min="14851" max="14851" width="11.6328125" style="27" customWidth="1"/>
    <col min="14852" max="14852" width="4.453125" style="27" customWidth="1"/>
    <col min="14853" max="14853" width="11.36328125" style="27" customWidth="1"/>
    <col min="14854" max="14854" width="26.90625" style="27" customWidth="1"/>
    <col min="14855" max="14855" width="20.08984375" style="27" customWidth="1"/>
    <col min="14856" max="15104" width="9" style="27"/>
    <col min="15105" max="15105" width="2.453125" style="27" customWidth="1"/>
    <col min="15106" max="15106" width="3.81640625" style="27" customWidth="1"/>
    <col min="15107" max="15107" width="11.6328125" style="27" customWidth="1"/>
    <col min="15108" max="15108" width="4.453125" style="27" customWidth="1"/>
    <col min="15109" max="15109" width="11.36328125" style="27" customWidth="1"/>
    <col min="15110" max="15110" width="26.90625" style="27" customWidth="1"/>
    <col min="15111" max="15111" width="20.08984375" style="27" customWidth="1"/>
    <col min="15112" max="15360" width="9" style="27"/>
    <col min="15361" max="15361" width="2.453125" style="27" customWidth="1"/>
    <col min="15362" max="15362" width="3.81640625" style="27" customWidth="1"/>
    <col min="15363" max="15363" width="11.6328125" style="27" customWidth="1"/>
    <col min="15364" max="15364" width="4.453125" style="27" customWidth="1"/>
    <col min="15365" max="15365" width="11.36328125" style="27" customWidth="1"/>
    <col min="15366" max="15366" width="26.90625" style="27" customWidth="1"/>
    <col min="15367" max="15367" width="20.08984375" style="27" customWidth="1"/>
    <col min="15368" max="15616" width="9" style="27"/>
    <col min="15617" max="15617" width="2.453125" style="27" customWidth="1"/>
    <col min="15618" max="15618" width="3.81640625" style="27" customWidth="1"/>
    <col min="15619" max="15619" width="11.6328125" style="27" customWidth="1"/>
    <col min="15620" max="15620" width="4.453125" style="27" customWidth="1"/>
    <col min="15621" max="15621" width="11.36328125" style="27" customWidth="1"/>
    <col min="15622" max="15622" width="26.90625" style="27" customWidth="1"/>
    <col min="15623" max="15623" width="20.08984375" style="27" customWidth="1"/>
    <col min="15624" max="15872" width="9" style="27"/>
    <col min="15873" max="15873" width="2.453125" style="27" customWidth="1"/>
    <col min="15874" max="15874" width="3.81640625" style="27" customWidth="1"/>
    <col min="15875" max="15875" width="11.6328125" style="27" customWidth="1"/>
    <col min="15876" max="15876" width="4.453125" style="27" customWidth="1"/>
    <col min="15877" max="15877" width="11.36328125" style="27" customWidth="1"/>
    <col min="15878" max="15878" width="26.90625" style="27" customWidth="1"/>
    <col min="15879" max="15879" width="20.08984375" style="27" customWidth="1"/>
    <col min="15880" max="16128" width="9" style="27"/>
    <col min="16129" max="16129" width="2.453125" style="27" customWidth="1"/>
    <col min="16130" max="16130" width="3.81640625" style="27" customWidth="1"/>
    <col min="16131" max="16131" width="11.6328125" style="27" customWidth="1"/>
    <col min="16132" max="16132" width="4.453125" style="27" customWidth="1"/>
    <col min="16133" max="16133" width="11.36328125" style="27" customWidth="1"/>
    <col min="16134" max="16134" width="26.90625" style="27" customWidth="1"/>
    <col min="16135" max="16135" width="20.08984375" style="27" customWidth="1"/>
    <col min="16136" max="16384" width="9" style="27"/>
  </cols>
  <sheetData>
    <row r="1" spans="2:7" ht="17.149999999999999" customHeight="1">
      <c r="B1" s="26" t="s">
        <v>128</v>
      </c>
      <c r="G1" s="28" t="s">
        <v>141</v>
      </c>
    </row>
    <row r="2" spans="2:7" ht="13">
      <c r="B2" s="29" t="s">
        <v>140</v>
      </c>
      <c r="C2" s="30"/>
      <c r="D2" s="54"/>
    </row>
    <row r="3" spans="2:7" ht="13">
      <c r="B3" s="29"/>
    </row>
    <row r="4" spans="2:7" ht="13">
      <c r="B4" s="65" t="s">
        <v>100</v>
      </c>
      <c r="C4" s="65"/>
      <c r="D4" s="65"/>
      <c r="E4" s="65"/>
      <c r="F4" s="65"/>
      <c r="G4" s="65"/>
    </row>
    <row r="10" spans="2:7" ht="17.149999999999999" customHeight="1">
      <c r="B10" s="31" t="s">
        <v>101</v>
      </c>
      <c r="C10" s="32"/>
      <c r="D10" s="66" t="s">
        <v>102</v>
      </c>
      <c r="E10" s="66"/>
      <c r="F10" s="66"/>
      <c r="G10" s="66"/>
    </row>
    <row r="11" spans="2:7" ht="17.149999999999999" customHeight="1">
      <c r="B11" s="33" t="s">
        <v>103</v>
      </c>
      <c r="C11" s="34"/>
      <c r="D11" s="67" t="s">
        <v>104</v>
      </c>
      <c r="E11" s="67"/>
      <c r="F11" s="66" t="s">
        <v>105</v>
      </c>
      <c r="G11" s="66"/>
    </row>
    <row r="12" spans="2:7" ht="17.149999999999999" customHeight="1">
      <c r="B12" s="35"/>
      <c r="C12" s="36"/>
      <c r="D12" s="67" t="s">
        <v>106</v>
      </c>
      <c r="E12" s="68"/>
      <c r="F12" s="66" t="s">
        <v>107</v>
      </c>
      <c r="G12" s="66"/>
    </row>
    <row r="13" spans="2:7" ht="17.149999999999999" customHeight="1">
      <c r="B13" s="35"/>
      <c r="C13" s="36"/>
      <c r="D13" s="67" t="s">
        <v>108</v>
      </c>
      <c r="E13" s="68"/>
      <c r="F13" s="69" t="s">
        <v>109</v>
      </c>
      <c r="G13" s="66"/>
    </row>
    <row r="14" spans="2:7" ht="17.149999999999999" customHeight="1">
      <c r="B14" s="35"/>
      <c r="C14" s="36"/>
      <c r="D14" s="67" t="s">
        <v>110</v>
      </c>
      <c r="E14" s="68"/>
      <c r="F14" s="66" t="s">
        <v>111</v>
      </c>
      <c r="G14" s="66"/>
    </row>
    <row r="15" spans="2:7" ht="17.149999999999999" customHeight="1">
      <c r="B15" s="37"/>
      <c r="C15" s="38"/>
      <c r="D15" s="67" t="s">
        <v>112</v>
      </c>
      <c r="E15" s="68"/>
      <c r="F15" s="70" t="s">
        <v>113</v>
      </c>
      <c r="G15" s="66"/>
    </row>
    <row r="16" spans="2:7" ht="17.149999999999999" customHeight="1">
      <c r="B16" s="31" t="s">
        <v>114</v>
      </c>
      <c r="C16" s="32"/>
      <c r="D16" s="66" t="s">
        <v>115</v>
      </c>
      <c r="E16" s="66"/>
      <c r="F16" s="66"/>
      <c r="G16" s="66"/>
    </row>
    <row r="17" spans="2:7" ht="17.149999999999999" customHeight="1">
      <c r="B17" s="31" t="s">
        <v>116</v>
      </c>
      <c r="C17" s="32"/>
      <c r="D17" s="66" t="s">
        <v>117</v>
      </c>
      <c r="E17" s="66"/>
      <c r="F17" s="66"/>
      <c r="G17" s="66"/>
    </row>
    <row r="18" spans="2:7" ht="17.149999999999999" customHeight="1">
      <c r="B18" s="31" t="s">
        <v>118</v>
      </c>
      <c r="C18" s="32"/>
      <c r="D18" s="74" t="s">
        <v>119</v>
      </c>
      <c r="E18" s="75"/>
      <c r="F18" s="75"/>
      <c r="G18" s="76"/>
    </row>
    <row r="19" spans="2:7" ht="17.149999999999999" customHeight="1">
      <c r="B19" s="77" t="s">
        <v>120</v>
      </c>
      <c r="C19" s="78"/>
      <c r="D19" s="39"/>
      <c r="E19" s="83" t="s">
        <v>121</v>
      </c>
      <c r="F19" s="83"/>
      <c r="G19" s="83"/>
    </row>
    <row r="20" spans="2:7" ht="17.149999999999999" customHeight="1">
      <c r="B20" s="79"/>
      <c r="C20" s="80"/>
      <c r="D20" s="40"/>
      <c r="E20" s="83" t="s">
        <v>122</v>
      </c>
      <c r="F20" s="83"/>
      <c r="G20" s="83"/>
    </row>
    <row r="21" spans="2:7" ht="17.149999999999999" customHeight="1">
      <c r="B21" s="81"/>
      <c r="C21" s="82"/>
      <c r="D21" s="40"/>
      <c r="E21" s="41" t="s">
        <v>123</v>
      </c>
      <c r="F21" s="84" t="s">
        <v>124</v>
      </c>
      <c r="G21" s="85"/>
    </row>
    <row r="22" spans="2:7" ht="58.5" customHeight="1">
      <c r="B22" s="71" t="s">
        <v>125</v>
      </c>
      <c r="C22" s="72"/>
      <c r="D22" s="72"/>
      <c r="E22" s="72"/>
      <c r="F22" s="72"/>
      <c r="G22" s="73"/>
    </row>
    <row r="24" spans="2:7" ht="13">
      <c r="B24" s="29" t="s">
        <v>126</v>
      </c>
    </row>
    <row r="25" spans="2:7" ht="58.5" customHeight="1">
      <c r="B25" s="71" t="s">
        <v>127</v>
      </c>
      <c r="C25" s="72"/>
      <c r="D25" s="72"/>
      <c r="E25" s="72"/>
      <c r="F25" s="72"/>
      <c r="G25" s="73"/>
    </row>
  </sheetData>
  <mergeCells count="21">
    <mergeCell ref="B22:G22"/>
    <mergeCell ref="B25:G25"/>
    <mergeCell ref="D16:G16"/>
    <mergeCell ref="D17:G17"/>
    <mergeCell ref="D18:G18"/>
    <mergeCell ref="B19:C21"/>
    <mergeCell ref="E19:G19"/>
    <mergeCell ref="E20:G20"/>
    <mergeCell ref="F21:G21"/>
    <mergeCell ref="D13:E13"/>
    <mergeCell ref="F13:G13"/>
    <mergeCell ref="D14:E14"/>
    <mergeCell ref="F14:G14"/>
    <mergeCell ref="D15:E15"/>
    <mergeCell ref="F15:G15"/>
    <mergeCell ref="B4:G4"/>
    <mergeCell ref="D10:G10"/>
    <mergeCell ref="D11:E11"/>
    <mergeCell ref="F11:G11"/>
    <mergeCell ref="D12:E12"/>
    <mergeCell ref="F12:G12"/>
  </mergeCells>
  <phoneticPr fontId="2"/>
  <hyperlinks>
    <hyperlink ref="F15" r:id="rId1" xr:uid="{FC2F890D-08A7-4ACB-93B9-47C9817D3F12}"/>
  </hyperlinks>
  <pageMargins left="0.75" right="0.75" top="0.5" bottom="1" header="0.5" footer="0.5"/>
  <pageSetup scale="98" orientation="portrait" r:id="rId2"/>
  <headerFooter alignWithMargins="0">
    <oddFooter>&amp;L&amp;8v1.0 - 20050426</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7538-DDE5-4A59-9D30-486AFA89E2AF}">
  <dimension ref="A16:L136"/>
  <sheetViews>
    <sheetView workbookViewId="0">
      <selection activeCell="F144" sqref="F144"/>
    </sheetView>
  </sheetViews>
  <sheetFormatPr defaultRowHeight="14.5"/>
  <cols>
    <col min="1" max="1" width="14.453125" customWidth="1"/>
    <col min="2" max="2" width="13.90625" customWidth="1"/>
    <col min="3" max="3" width="14.36328125" customWidth="1"/>
    <col min="4" max="4" width="14.08984375" customWidth="1"/>
    <col min="5" max="5" width="13.453125" customWidth="1"/>
    <col min="6" max="6" width="15.6328125" customWidth="1"/>
    <col min="7" max="7" width="17.36328125" customWidth="1"/>
    <col min="8" max="8" width="12.81640625" customWidth="1"/>
    <col min="9" max="9" width="12.6328125" customWidth="1"/>
    <col min="10" max="10" width="10.08984375" customWidth="1"/>
    <col min="11" max="11" width="13.08984375" customWidth="1"/>
    <col min="12" max="12" width="9.453125" bestFit="1" customWidth="1"/>
  </cols>
  <sheetData>
    <row r="16" spans="2:7">
      <c r="B16" s="86" t="s">
        <v>8</v>
      </c>
      <c r="C16" s="87"/>
      <c r="D16" s="87"/>
      <c r="E16" s="88"/>
      <c r="F16" s="86" t="s">
        <v>13</v>
      </c>
      <c r="G16" s="88"/>
    </row>
    <row r="17" spans="1:7">
      <c r="A17" s="1" t="s">
        <v>0</v>
      </c>
      <c r="B17" s="1" t="s">
        <v>5</v>
      </c>
      <c r="C17" s="1"/>
      <c r="D17" s="1" t="s">
        <v>6</v>
      </c>
      <c r="E17" s="1"/>
      <c r="F17" s="1" t="s">
        <v>7</v>
      </c>
      <c r="G17" s="1"/>
    </row>
    <row r="18" spans="1:7">
      <c r="A18" s="1" t="s">
        <v>10</v>
      </c>
      <c r="B18" s="89" t="s">
        <v>11</v>
      </c>
      <c r="C18" s="90"/>
      <c r="D18" s="89" t="s">
        <v>12</v>
      </c>
      <c r="E18" s="90"/>
      <c r="F18" s="1" t="s">
        <v>9</v>
      </c>
      <c r="G18" s="1"/>
    </row>
    <row r="19" spans="1:7" ht="18">
      <c r="A19" s="1" t="s">
        <v>1</v>
      </c>
      <c r="B19" s="2" t="s">
        <v>33</v>
      </c>
      <c r="C19" s="2" t="s">
        <v>34</v>
      </c>
      <c r="D19" s="2" t="s">
        <v>35</v>
      </c>
      <c r="E19" s="2" t="s">
        <v>36</v>
      </c>
      <c r="F19" s="2" t="s">
        <v>37</v>
      </c>
      <c r="G19" s="2" t="s">
        <v>38</v>
      </c>
    </row>
    <row r="20" spans="1:7">
      <c r="A20" s="1">
        <v>100</v>
      </c>
      <c r="B20" s="6">
        <v>19.399999999999999</v>
      </c>
      <c r="C20" s="6">
        <v>20</v>
      </c>
      <c r="D20" s="6">
        <v>21.323</v>
      </c>
      <c r="E20" s="6">
        <v>25.986999999999998</v>
      </c>
      <c r="F20" s="6">
        <v>21.323</v>
      </c>
      <c r="G20" s="6">
        <v>23.8</v>
      </c>
    </row>
    <row r="21" spans="1:7">
      <c r="A21" s="1">
        <v>400</v>
      </c>
      <c r="B21" s="6">
        <v>40</v>
      </c>
      <c r="C21" s="6">
        <v>41.473999999999997</v>
      </c>
      <c r="D21" s="6">
        <v>44.066000000000003</v>
      </c>
      <c r="E21" s="6">
        <v>53.994</v>
      </c>
      <c r="F21" s="6">
        <v>44.066000000000003</v>
      </c>
      <c r="G21" s="6">
        <v>49.5</v>
      </c>
    </row>
    <row r="22" spans="1:7">
      <c r="A22" s="55" t="s">
        <v>129</v>
      </c>
    </row>
    <row r="23" spans="1:7" ht="18">
      <c r="A23" s="1" t="s">
        <v>4</v>
      </c>
      <c r="B23" s="2" t="s">
        <v>39</v>
      </c>
      <c r="C23" s="2" t="s">
        <v>40</v>
      </c>
      <c r="D23" s="2" t="s">
        <v>41</v>
      </c>
      <c r="E23" s="2" t="s">
        <v>42</v>
      </c>
      <c r="F23" s="4" t="s">
        <v>84</v>
      </c>
      <c r="G23" s="2" t="s">
        <v>43</v>
      </c>
    </row>
    <row r="24" spans="1:7">
      <c r="A24" s="1">
        <f>SQRT(A20)</f>
        <v>10</v>
      </c>
      <c r="B24" s="43">
        <f t="shared" ref="B24:B25" si="0">0.0062*A24+1.8799</f>
        <v>1.9419</v>
      </c>
      <c r="C24" s="43">
        <f t="shared" ref="C24:C25" si="1">0.007*A24+1.9337</f>
        <v>2.0036999999999998</v>
      </c>
      <c r="D24" s="43">
        <f t="shared" ref="D24:D25" si="2">0.0071*A24+2.0613</f>
        <v>2.1323000000000003</v>
      </c>
      <c r="E24" s="43">
        <f t="shared" ref="E24:E25" si="3">0.0101*A24+2.4977</f>
        <v>2.5987</v>
      </c>
      <c r="F24" s="43">
        <f t="shared" ref="F24:F25" si="4">0.0071*A24+2.0613</f>
        <v>2.1323000000000003</v>
      </c>
      <c r="G24" s="43">
        <f>G20/A24</f>
        <v>2.38</v>
      </c>
    </row>
    <row r="25" spans="1:7">
      <c r="A25" s="1">
        <f>SQRT(A21)</f>
        <v>20</v>
      </c>
      <c r="B25" s="43">
        <f t="shared" si="0"/>
        <v>2.0038999999999998</v>
      </c>
      <c r="C25" s="43">
        <f t="shared" si="1"/>
        <v>2.0737000000000001</v>
      </c>
      <c r="D25" s="43">
        <f t="shared" si="2"/>
        <v>2.2033</v>
      </c>
      <c r="E25" s="43">
        <f t="shared" si="3"/>
        <v>2.6997</v>
      </c>
      <c r="F25" s="43">
        <f t="shared" si="4"/>
        <v>2.2033</v>
      </c>
      <c r="G25" s="43">
        <f>G21/A25</f>
        <v>2.4750000000000001</v>
      </c>
    </row>
    <row r="26" spans="1:7">
      <c r="D26" t="s">
        <v>85</v>
      </c>
      <c r="F26" s="5"/>
      <c r="G26" s="25" t="s">
        <v>87</v>
      </c>
    </row>
    <row r="27" spans="1:7">
      <c r="D27" s="5" t="s">
        <v>86</v>
      </c>
    </row>
    <row r="28" spans="1:7">
      <c r="A28" s="56" t="s">
        <v>130</v>
      </c>
      <c r="B28" t="s">
        <v>53</v>
      </c>
    </row>
    <row r="29" spans="1:7">
      <c r="A29" s="3" t="s">
        <v>50</v>
      </c>
      <c r="B29" s="3" t="s">
        <v>44</v>
      </c>
      <c r="C29" s="3" t="s">
        <v>45</v>
      </c>
      <c r="D29" s="3" t="s">
        <v>46</v>
      </c>
      <c r="E29" s="3" t="s">
        <v>47</v>
      </c>
      <c r="F29" s="3" t="s">
        <v>48</v>
      </c>
      <c r="G29" s="3" t="s">
        <v>49</v>
      </c>
    </row>
    <row r="30" spans="1:7">
      <c r="A30" s="3" t="s">
        <v>2</v>
      </c>
      <c r="B30" s="57">
        <v>6.1999999999999998E-3</v>
      </c>
      <c r="C30" s="57">
        <v>1.8738999999999999</v>
      </c>
      <c r="D30" s="57">
        <v>7.1000000000000004E-3</v>
      </c>
      <c r="E30" s="57">
        <v>2.0613000000000001</v>
      </c>
      <c r="F30" s="57">
        <v>7.1000000000000004E-3</v>
      </c>
      <c r="G30" s="57">
        <v>2.0613000000000001</v>
      </c>
    </row>
    <row r="31" spans="1:7">
      <c r="A31" s="3" t="s">
        <v>3</v>
      </c>
      <c r="B31" s="57">
        <v>7.0000000000000001E-3</v>
      </c>
      <c r="C31" s="57">
        <v>1.9337</v>
      </c>
      <c r="D31" s="57">
        <v>1.01E-2</v>
      </c>
      <c r="E31" s="57">
        <v>2.4977</v>
      </c>
      <c r="F31" s="57">
        <v>9.4999999999999998E-3</v>
      </c>
      <c r="G31" s="57">
        <v>2.2850000000000001</v>
      </c>
    </row>
    <row r="32" spans="1:7">
      <c r="A32" s="3" t="s">
        <v>14</v>
      </c>
      <c r="B32" s="7">
        <f>(B31-B30)/B30*100</f>
        <v>12.903225806451617</v>
      </c>
      <c r="C32" s="7">
        <f t="shared" ref="C32:G32" si="5">(C31-C30)/C30*100</f>
        <v>3.1912055072309133</v>
      </c>
      <c r="D32" s="7">
        <f t="shared" si="5"/>
        <v>42.253521126760553</v>
      </c>
      <c r="E32" s="7">
        <f t="shared" si="5"/>
        <v>21.171105612962688</v>
      </c>
      <c r="F32" s="7">
        <f t="shared" si="5"/>
        <v>33.802816901408441</v>
      </c>
      <c r="G32" s="7">
        <f t="shared" si="5"/>
        <v>10.852374714985688</v>
      </c>
    </row>
    <row r="34" spans="1:12">
      <c r="A34" s="3" t="s">
        <v>15</v>
      </c>
      <c r="B34" s="9">
        <v>1.7500000000000002E-2</v>
      </c>
      <c r="C34" s="1" t="s">
        <v>16</v>
      </c>
    </row>
    <row r="35" spans="1:12">
      <c r="A35" s="3" t="s">
        <v>17</v>
      </c>
      <c r="B35" s="1">
        <v>2.5999999999999999E-2</v>
      </c>
      <c r="C35" s="1" t="s">
        <v>16</v>
      </c>
    </row>
    <row r="36" spans="1:12" ht="18">
      <c r="A36" s="3" t="s">
        <v>18</v>
      </c>
      <c r="B36" s="1">
        <v>2.0000000000000001E-4</v>
      </c>
      <c r="C36" s="1" t="s">
        <v>2</v>
      </c>
      <c r="I36" t="s">
        <v>82</v>
      </c>
    </row>
    <row r="37" spans="1:12">
      <c r="A37" s="3" t="s">
        <v>19</v>
      </c>
      <c r="B37" s="1">
        <v>5.0000000000000001E-4</v>
      </c>
      <c r="C37" s="1" t="s">
        <v>2</v>
      </c>
    </row>
    <row r="38" spans="1:12" ht="15" thickBot="1">
      <c r="A38" s="8" t="s">
        <v>20</v>
      </c>
      <c r="B38" s="9">
        <v>1.2566E-6</v>
      </c>
      <c r="C38" s="1" t="s">
        <v>32</v>
      </c>
    </row>
    <row r="39" spans="1:12" ht="18">
      <c r="A39" s="3" t="s">
        <v>21</v>
      </c>
      <c r="B39" s="1">
        <v>0.04</v>
      </c>
      <c r="C39" s="1"/>
      <c r="E39" s="91" t="s">
        <v>64</v>
      </c>
      <c r="F39" s="92"/>
      <c r="G39" s="93" t="s">
        <v>65</v>
      </c>
      <c r="H39" s="94"/>
    </row>
    <row r="40" spans="1:12" ht="18">
      <c r="A40" s="3" t="s">
        <v>22</v>
      </c>
      <c r="B40" s="1">
        <v>1.1000000000000001E-3</v>
      </c>
      <c r="C40" s="1"/>
      <c r="E40" s="13" t="s">
        <v>67</v>
      </c>
      <c r="F40" s="19">
        <v>2.6</v>
      </c>
      <c r="G40" s="16" t="s">
        <v>67</v>
      </c>
      <c r="H40" s="20">
        <v>2.33</v>
      </c>
    </row>
    <row r="41" spans="1:12">
      <c r="A41" s="3" t="s">
        <v>23</v>
      </c>
      <c r="B41" s="9">
        <v>5.0000000000000002E-11</v>
      </c>
      <c r="C41" s="1" t="s">
        <v>31</v>
      </c>
      <c r="E41" s="95" t="s">
        <v>57</v>
      </c>
      <c r="F41" s="96"/>
      <c r="G41" s="97" t="s">
        <v>66</v>
      </c>
      <c r="H41" s="98"/>
    </row>
    <row r="42" spans="1:12">
      <c r="A42" s="3" t="s">
        <v>24</v>
      </c>
      <c r="B42" s="1">
        <v>0.52500000000000002</v>
      </c>
      <c r="C42" s="1" t="s">
        <v>25</v>
      </c>
      <c r="E42" s="58">
        <f>$F$40*SQRT(B38*B34*100000000/PI())*(1+B39)/B44/B42</f>
        <v>4.3091340010985558E-2</v>
      </c>
      <c r="F42" s="14" t="s">
        <v>59</v>
      </c>
      <c r="G42" s="59">
        <f>$H$40*SQRT(B38*B35*100000000/PI())*(1+B39)/B44/B43</f>
        <v>4.7522161076241756E-2</v>
      </c>
      <c r="H42" s="17" t="s">
        <v>58</v>
      </c>
      <c r="I42" s="11"/>
      <c r="J42" s="11"/>
      <c r="K42" s="11"/>
      <c r="L42" s="11"/>
    </row>
    <row r="43" spans="1:12">
      <c r="A43" s="3" t="s">
        <v>26</v>
      </c>
      <c r="B43" s="1">
        <v>0.52</v>
      </c>
      <c r="C43" s="1" t="s">
        <v>27</v>
      </c>
      <c r="E43" s="58">
        <f>E42*100</f>
        <v>4.3091340010985562</v>
      </c>
      <c r="F43" s="14" t="s">
        <v>61</v>
      </c>
      <c r="G43" s="59">
        <f>G42*100</f>
        <v>4.752216107624176</v>
      </c>
      <c r="H43" s="17" t="s">
        <v>60</v>
      </c>
      <c r="I43" s="11"/>
      <c r="J43" s="11"/>
      <c r="K43" s="11"/>
    </row>
    <row r="44" spans="1:12" ht="15" thickBot="1">
      <c r="A44" s="3" t="s">
        <v>29</v>
      </c>
      <c r="B44" s="1">
        <v>100</v>
      </c>
      <c r="C44" s="1" t="s">
        <v>30</v>
      </c>
      <c r="E44" s="60">
        <f>E43*4.343</f>
        <v>18.714568966771029</v>
      </c>
      <c r="F44" s="15" t="s">
        <v>63</v>
      </c>
      <c r="G44" s="61">
        <f>G43*4.343</f>
        <v>20.638874555411796</v>
      </c>
      <c r="H44" s="18" t="s">
        <v>62</v>
      </c>
      <c r="I44" s="11"/>
      <c r="J44" s="11"/>
      <c r="K44" s="11"/>
    </row>
    <row r="45" spans="1:12">
      <c r="A45" s="62"/>
    </row>
    <row r="46" spans="1:12">
      <c r="B46" t="s">
        <v>52</v>
      </c>
      <c r="I46" s="11"/>
    </row>
    <row r="47" spans="1:12">
      <c r="A47" s="3" t="s">
        <v>51</v>
      </c>
      <c r="B47" s="3" t="s">
        <v>44</v>
      </c>
      <c r="C47" s="3" t="s">
        <v>45</v>
      </c>
      <c r="D47" s="3" t="s">
        <v>46</v>
      </c>
      <c r="E47" s="3" t="s">
        <v>47</v>
      </c>
      <c r="F47" s="3" t="s">
        <v>48</v>
      </c>
      <c r="G47" s="3" t="s">
        <v>49</v>
      </c>
    </row>
    <row r="48" spans="1:12">
      <c r="A48" s="3" t="s">
        <v>2</v>
      </c>
      <c r="B48" s="44">
        <f>B30/100/4.343/1000000</f>
        <v>1.427584618927009E-11</v>
      </c>
      <c r="C48" s="44">
        <f>C30/100/4.343/1000</f>
        <v>4.3147593829150353E-6</v>
      </c>
      <c r="D48" s="44">
        <f>D30/100/4.343/1000000</f>
        <v>1.6348146442551234E-11</v>
      </c>
      <c r="E48" s="44">
        <f>E30/100/4.343/1000</f>
        <v>4.7462583467649098E-6</v>
      </c>
      <c r="F48" s="44">
        <f>F30/100/4.343/1000000</f>
        <v>1.6348146442551234E-11</v>
      </c>
      <c r="G48" s="44">
        <f>G30/100/4.343/1000</f>
        <v>4.7462583467649098E-6</v>
      </c>
      <c r="H48" s="10"/>
      <c r="I48" s="62"/>
    </row>
    <row r="49" spans="1:9">
      <c r="A49" s="3" t="s">
        <v>3</v>
      </c>
      <c r="B49" s="44">
        <f>B31/100/4.343/1000000</f>
        <v>1.6117890858853328E-11</v>
      </c>
      <c r="C49" s="44">
        <f>C31/100/4.343/1000</f>
        <v>4.4524522219663828E-6</v>
      </c>
      <c r="D49" s="44">
        <f>D31/100/4.343/1000000</f>
        <v>2.3255813953488374E-11</v>
      </c>
      <c r="E49" s="44">
        <f>E31/100/4.343/1000</f>
        <v>5.7510937140225647E-6</v>
      </c>
      <c r="F49" s="44">
        <f>F31/100/4.343/1000000</f>
        <v>2.1874280451300944E-11</v>
      </c>
      <c r="G49" s="44">
        <f>G31/100/4.343/1000</f>
        <v>5.2613400874971221E-6</v>
      </c>
    </row>
    <row r="51" spans="1:9">
      <c r="B51" s="86" t="s">
        <v>8</v>
      </c>
      <c r="C51" s="87"/>
      <c r="D51" s="87"/>
      <c r="E51" s="88"/>
      <c r="F51" s="86" t="s">
        <v>13</v>
      </c>
      <c r="G51" s="88"/>
    </row>
    <row r="52" spans="1:9">
      <c r="A52" s="1" t="s">
        <v>0</v>
      </c>
      <c r="B52" s="1" t="s">
        <v>5</v>
      </c>
      <c r="C52" s="1"/>
      <c r="D52" s="1" t="s">
        <v>6</v>
      </c>
      <c r="E52" s="1"/>
      <c r="F52" s="1" t="s">
        <v>7</v>
      </c>
      <c r="G52" s="1"/>
    </row>
    <row r="53" spans="1:9">
      <c r="A53" s="1" t="s">
        <v>10</v>
      </c>
      <c r="B53" s="89" t="s">
        <v>11</v>
      </c>
      <c r="C53" s="90"/>
      <c r="D53" s="89" t="s">
        <v>12</v>
      </c>
      <c r="E53" s="90"/>
      <c r="F53" s="1" t="s">
        <v>9</v>
      </c>
      <c r="G53" s="1"/>
    </row>
    <row r="54" spans="1:9" ht="16.5">
      <c r="A54" s="1"/>
      <c r="B54" s="1" t="s">
        <v>28</v>
      </c>
      <c r="C54" s="12" t="s">
        <v>55</v>
      </c>
      <c r="D54" s="1" t="s">
        <v>28</v>
      </c>
      <c r="E54" s="12" t="s">
        <v>56</v>
      </c>
      <c r="F54" s="1" t="s">
        <v>28</v>
      </c>
      <c r="G54" s="12" t="s">
        <v>56</v>
      </c>
    </row>
    <row r="55" spans="1:9">
      <c r="A55" s="8" t="s">
        <v>2</v>
      </c>
      <c r="B55" s="45">
        <f>B48/(PI()*B41*B44)</f>
        <v>9.0882859513677285E-4</v>
      </c>
      <c r="C55" s="45">
        <f>(C48*B44*B42)^2*PI()/$F$40^2/B38/(1+B39)^2</f>
        <v>1.7545720759207153E-2</v>
      </c>
      <c r="D55" s="45">
        <f>D48/(PI()*B41*B44)</f>
        <v>1.0407553266888851E-3</v>
      </c>
      <c r="E55" s="45">
        <f>(E48*B44*B42)^2*PI()/$H$40^2/B38/(1+B39)^2</f>
        <v>2.6435994404410114E-2</v>
      </c>
      <c r="F55" s="45">
        <f>F48/(PI()*B41*B44)</f>
        <v>1.0407553266888851E-3</v>
      </c>
      <c r="G55" s="45">
        <f>(G48*B44*B42)^2*PI()/$H$40^2/B38/(1+B39)^2</f>
        <v>2.6435994404410114E-2</v>
      </c>
      <c r="H55" s="10"/>
    </row>
    <row r="56" spans="1:9">
      <c r="A56" s="1" t="s">
        <v>3</v>
      </c>
      <c r="B56" s="45">
        <f>B49/PI()/B41/B44</f>
        <v>1.0260968009608725E-3</v>
      </c>
      <c r="C56" s="45">
        <f>(C49*B44*B42)^2*PI()/$F$40^2/B38/(1+B39)^2</f>
        <v>1.8683428971613805E-2</v>
      </c>
      <c r="D56" s="45">
        <f>D49/PI()/B41/B44</f>
        <v>1.4805110985292589E-3</v>
      </c>
      <c r="E56" s="45">
        <f>(E49*B44*B42)^2*PI()/$H$40^2/B38/(1+B39)^2</f>
        <v>3.8814481802553043E-2</v>
      </c>
      <c r="F56" s="45">
        <f>F49/PI()/B41/B44</f>
        <v>1.3925599441611842E-3</v>
      </c>
      <c r="G56" s="45">
        <f>(G49*B44*B42)^2*PI()/$H$40^2/B38/(1+B39)^2</f>
        <v>3.2485208127399863E-2</v>
      </c>
    </row>
    <row r="57" spans="1:9">
      <c r="A57" s="1" t="s">
        <v>54</v>
      </c>
      <c r="B57" s="46">
        <f>(B56-B55)/B55*100</f>
        <v>12.903225806451605</v>
      </c>
      <c r="C57" s="46">
        <f t="shared" ref="C57:G57" si="6">(C56-C55)/C55*100</f>
        <v>6.4842489403556582</v>
      </c>
      <c r="D57" s="46">
        <f t="shared" si="6"/>
        <v>42.253521126760539</v>
      </c>
      <c r="E57" s="46">
        <f t="shared" si="6"/>
        <v>46.824368354677517</v>
      </c>
      <c r="F57" s="46">
        <f t="shared" si="6"/>
        <v>33.802816901408434</v>
      </c>
      <c r="G57" s="46">
        <f t="shared" si="6"/>
        <v>22.882489799515941</v>
      </c>
    </row>
    <row r="58" spans="1:9">
      <c r="I58" s="11"/>
    </row>
    <row r="59" spans="1:9">
      <c r="A59" t="s">
        <v>83</v>
      </c>
    </row>
    <row r="60" spans="1:9" ht="18">
      <c r="A60" t="s">
        <v>68</v>
      </c>
    </row>
    <row r="61" spans="1:9" ht="18">
      <c r="A61" t="s">
        <v>69</v>
      </c>
    </row>
    <row r="63" spans="1:9">
      <c r="A63" t="s">
        <v>70</v>
      </c>
      <c r="B63" s="11">
        <v>4.9999999999999998E-7</v>
      </c>
      <c r="C63" t="s">
        <v>71</v>
      </c>
      <c r="D63" t="s">
        <v>79</v>
      </c>
      <c r="F63" t="s">
        <v>78</v>
      </c>
    </row>
    <row r="64" spans="1:9">
      <c r="B64" s="11"/>
      <c r="D64" t="s">
        <v>81</v>
      </c>
    </row>
    <row r="65" spans="1:8">
      <c r="B65" s="11"/>
      <c r="D65" t="s">
        <v>80</v>
      </c>
    </row>
    <row r="66" spans="1:8">
      <c r="B66" s="11"/>
    </row>
    <row r="67" spans="1:8">
      <c r="A67" t="s">
        <v>77</v>
      </c>
      <c r="B67" s="22">
        <v>100000000</v>
      </c>
      <c r="C67" t="s">
        <v>72</v>
      </c>
    </row>
    <row r="68" spans="1:8" ht="15" thickBot="1">
      <c r="A68" s="1" t="s">
        <v>75</v>
      </c>
      <c r="B68" s="23" t="s">
        <v>76</v>
      </c>
      <c r="C68" s="21"/>
      <c r="D68" s="23" t="s">
        <v>76</v>
      </c>
      <c r="E68" s="21"/>
      <c r="F68" s="23" t="s">
        <v>76</v>
      </c>
    </row>
    <row r="69" spans="1:8" ht="15" thickTop="1">
      <c r="A69" s="1" t="s">
        <v>2</v>
      </c>
      <c r="B69" s="47">
        <f>100+100/(2*PI()*B42*B63)*SQRT(B38*C55/PI())/SQRT(B67)</f>
        <v>100.50792550594902</v>
      </c>
      <c r="C69" s="21"/>
      <c r="D69" s="47">
        <f>100+100/(2*PI()*$B$43*$B$63)*SQRT($B$38*E55/PI())/SQRT($B$67)</f>
        <v>100.62946009165626</v>
      </c>
      <c r="E69" s="21"/>
      <c r="F69" s="47">
        <f>100+100/(2*PI()*$B$43*$B$63)*SQRT($B$38*G55/PI())/SQRT($B$67)</f>
        <v>100.62946009165626</v>
      </c>
      <c r="H69" s="11"/>
    </row>
    <row r="70" spans="1:8">
      <c r="A70" s="1" t="s">
        <v>3</v>
      </c>
      <c r="B70" s="45">
        <f>100+100/(2*PI()*B43*B63)*SQRT(B38*C56/PI())/SQRT(B67)</f>
        <v>100.52917420702006</v>
      </c>
      <c r="C70" s="21"/>
      <c r="D70" s="45">
        <f>100+100/(2*PI()*$B$43*$B$63)*SQRT($B$38*E56/PI())/SQRT($B$67)</f>
        <v>100.76272375245225</v>
      </c>
      <c r="E70" s="21"/>
      <c r="F70" s="45">
        <f>100+100/(2*PI()*$B$43*$B$63)*SQRT($B$38*G56/PI())/SQRT($B$67)</f>
        <v>100.69777145948407</v>
      </c>
    </row>
    <row r="72" spans="1:8" ht="15" thickBot="1">
      <c r="A72" s="1" t="s">
        <v>73</v>
      </c>
      <c r="B72" s="23" t="s">
        <v>73</v>
      </c>
      <c r="C72" s="21"/>
      <c r="D72" s="23" t="s">
        <v>73</v>
      </c>
      <c r="E72" s="21"/>
      <c r="F72" s="23" t="s">
        <v>73</v>
      </c>
    </row>
    <row r="73" spans="1:8" ht="15" thickTop="1">
      <c r="A73" s="1" t="s">
        <v>2</v>
      </c>
      <c r="B73" s="47">
        <f>50*(B55-$B$39)-(B69-100)</f>
        <v>-2.4624840761921796</v>
      </c>
      <c r="C73" s="21"/>
      <c r="D73" s="47">
        <f>50*(D55-$B$39)-(D69-100)</f>
        <v>-2.5774223253218116</v>
      </c>
      <c r="E73" s="21"/>
      <c r="F73" s="47">
        <f>50*(F55-$B$39)-(F69-100)</f>
        <v>-2.5774223253218116</v>
      </c>
    </row>
    <row r="74" spans="1:8">
      <c r="A74" s="1" t="s">
        <v>3</v>
      </c>
      <c r="B74" s="45">
        <f>50*(B56-$B$39)-(B70-100)</f>
        <v>-2.4778693669720191</v>
      </c>
      <c r="C74" s="21"/>
      <c r="D74" s="45">
        <f>50*(D56-$B$39)-(D70-100)</f>
        <v>-2.6886981975257829</v>
      </c>
      <c r="E74" s="21"/>
      <c r="F74" s="45">
        <f>50*(F56-$B$39)-(F70-100)</f>
        <v>-2.6281434622760145</v>
      </c>
    </row>
    <row r="76" spans="1:8" ht="15" thickBot="1">
      <c r="A76" s="1" t="s">
        <v>29</v>
      </c>
      <c r="B76" s="23" t="s">
        <v>29</v>
      </c>
      <c r="C76" s="21"/>
      <c r="D76" s="23" t="s">
        <v>29</v>
      </c>
      <c r="E76" s="21"/>
      <c r="F76" s="23" t="s">
        <v>29</v>
      </c>
    </row>
    <row r="77" spans="1:8" ht="15" thickTop="1">
      <c r="A77" s="1" t="s">
        <v>74</v>
      </c>
      <c r="B77" s="48">
        <f>SQRT(B69^2+B73^2)</f>
        <v>100.53808689911946</v>
      </c>
      <c r="C77" s="24"/>
      <c r="D77" s="48">
        <f>SQRT(D69^2+D73^2)</f>
        <v>100.66246243849446</v>
      </c>
      <c r="E77" s="24"/>
      <c r="F77" s="48">
        <f>SQRT(F69^2+F73^2)</f>
        <v>100.66246243849446</v>
      </c>
    </row>
    <row r="78" spans="1:8">
      <c r="A78" s="1" t="s">
        <v>3</v>
      </c>
      <c r="B78" s="49">
        <f>SQRT(B70^2+B74^2)</f>
        <v>100.55970715622219</v>
      </c>
      <c r="C78" s="24"/>
      <c r="D78" s="49">
        <f>SQRT(D70^2+D74^2)</f>
        <v>100.79858925605249</v>
      </c>
      <c r="E78" s="24"/>
      <c r="F78" s="49">
        <f>SQRT(F70^2+F74^2)</f>
        <v>100.73206200095771</v>
      </c>
    </row>
    <row r="79" spans="1:8">
      <c r="B79" s="63"/>
      <c r="C79" s="63"/>
      <c r="D79" s="63"/>
      <c r="E79" s="63"/>
      <c r="F79" s="63"/>
    </row>
    <row r="80" spans="1:8">
      <c r="B80" s="86" t="s">
        <v>8</v>
      </c>
      <c r="C80" s="87"/>
      <c r="D80" s="87"/>
      <c r="E80" s="88"/>
      <c r="F80" s="86" t="s">
        <v>13</v>
      </c>
      <c r="G80" s="88"/>
    </row>
    <row r="81" spans="1:7">
      <c r="A81" s="1" t="s">
        <v>0</v>
      </c>
      <c r="B81" s="1" t="s">
        <v>5</v>
      </c>
      <c r="C81" s="1"/>
      <c r="D81" s="1" t="s">
        <v>6</v>
      </c>
      <c r="E81" s="1"/>
      <c r="F81" s="1" t="s">
        <v>7</v>
      </c>
      <c r="G81" s="1"/>
    </row>
    <row r="82" spans="1:7">
      <c r="A82" s="1" t="s">
        <v>10</v>
      </c>
      <c r="B82" s="89" t="s">
        <v>11</v>
      </c>
      <c r="C82" s="90"/>
      <c r="D82" s="89" t="s">
        <v>12</v>
      </c>
      <c r="E82" s="90"/>
      <c r="F82" s="1" t="s">
        <v>9</v>
      </c>
      <c r="G82" s="1"/>
    </row>
    <row r="83" spans="1:7">
      <c r="A83" s="3" t="s">
        <v>97</v>
      </c>
      <c r="B83" s="99">
        <v>100.538</v>
      </c>
      <c r="C83" s="99"/>
      <c r="D83" s="99">
        <v>100.66200000000001</v>
      </c>
      <c r="E83" s="99"/>
      <c r="F83" s="99">
        <v>100.66200000000001</v>
      </c>
      <c r="G83" s="99"/>
    </row>
    <row r="84" spans="1:7">
      <c r="A84" s="3" t="s">
        <v>98</v>
      </c>
      <c r="B84" s="99">
        <v>100.56</v>
      </c>
      <c r="C84" s="99"/>
      <c r="D84" s="99">
        <v>100.79900000000001</v>
      </c>
      <c r="E84" s="99"/>
      <c r="F84" s="99">
        <v>100.73206200095771</v>
      </c>
      <c r="G84" s="99"/>
    </row>
    <row r="85" spans="1:7">
      <c r="A85" s="3" t="s">
        <v>14</v>
      </c>
      <c r="B85" s="101">
        <f>(B84-B83)/B83*100</f>
        <v>2.1882273369278851E-2</v>
      </c>
      <c r="C85" s="101"/>
      <c r="D85" s="101">
        <f t="shared" ref="D85" si="7">(D84-D83)/D83*100</f>
        <v>0.13609902445808791</v>
      </c>
      <c r="E85" s="101"/>
      <c r="F85" s="101">
        <f t="shared" ref="F85" si="8">(F84-F83)/F83*100</f>
        <v>6.9601240743979942E-2</v>
      </c>
      <c r="G85" s="101"/>
    </row>
    <row r="87" spans="1:7">
      <c r="A87" t="s">
        <v>88</v>
      </c>
    </row>
    <row r="88" spans="1:7">
      <c r="A88" t="s">
        <v>81</v>
      </c>
    </row>
    <row r="89" spans="1:7">
      <c r="A89" t="s">
        <v>90</v>
      </c>
      <c r="C89" t="s">
        <v>131</v>
      </c>
    </row>
    <row r="90" spans="1:7">
      <c r="A90" s="1" t="s">
        <v>99</v>
      </c>
      <c r="B90" s="1">
        <v>0.92</v>
      </c>
    </row>
    <row r="91" spans="1:7">
      <c r="A91" s="1" t="s">
        <v>92</v>
      </c>
      <c r="B91" s="9">
        <v>5.0000000000000002E-11</v>
      </c>
    </row>
    <row r="92" spans="1:7">
      <c r="A92" s="1" t="s">
        <v>1</v>
      </c>
      <c r="B92" s="1" t="s">
        <v>89</v>
      </c>
      <c r="C92" s="1" t="s">
        <v>91</v>
      </c>
      <c r="D92" s="1" t="s">
        <v>93</v>
      </c>
    </row>
    <row r="93" spans="1:7">
      <c r="A93" s="64">
        <v>100</v>
      </c>
      <c r="B93" s="50">
        <f>2*$B$90/EXP((C93/0.0000001-1)/4)</f>
        <v>0.62239321417075033</v>
      </c>
      <c r="C93" s="51">
        <f>0.0000005*EXP(0.00065*A93)</f>
        <v>5.3357951219209624E-7</v>
      </c>
      <c r="D93" s="52">
        <f>SQRT(C93/$B$91)</f>
        <v>103.30338931439725</v>
      </c>
    </row>
    <row r="94" spans="1:7">
      <c r="A94" s="3">
        <v>200</v>
      </c>
      <c r="B94" s="50">
        <f t="shared" ref="B94:B98" si="9">2*$B$90/EXP((C94/0.0000001-1)/4)</f>
        <v>0.56905971246858367</v>
      </c>
      <c r="C94" s="51">
        <f t="shared" ref="C94:C98" si="10">0.0000005*EXP(0.00065*A94)</f>
        <v>5.6941419166231086E-7</v>
      </c>
      <c r="D94" s="52">
        <f t="shared" ref="D94:D98" si="11">SQRT(C94/$B$91)</f>
        <v>106.71590243841925</v>
      </c>
    </row>
    <row r="95" spans="1:7">
      <c r="A95" s="3">
        <v>300</v>
      </c>
      <c r="B95" s="50">
        <f t="shared" si="9"/>
        <v>0.51717541837496495</v>
      </c>
      <c r="C95" s="51">
        <f t="shared" si="10"/>
        <v>6.076554932448653E-7</v>
      </c>
      <c r="D95" s="52">
        <f t="shared" si="11"/>
        <v>110.2411441563326</v>
      </c>
    </row>
    <row r="96" spans="1:7">
      <c r="A96" s="3">
        <v>400</v>
      </c>
      <c r="B96" s="50">
        <f t="shared" si="9"/>
        <v>0.46701353600526319</v>
      </c>
      <c r="C96" s="51">
        <f t="shared" si="10"/>
        <v>6.4846504333288591E-7</v>
      </c>
      <c r="D96" s="52">
        <f t="shared" si="11"/>
        <v>113.88283833246219</v>
      </c>
    </row>
    <row r="97" spans="1:12">
      <c r="A97" s="3">
        <v>500</v>
      </c>
      <c r="B97" s="50">
        <f t="shared" si="9"/>
        <v>0.41883730171903938</v>
      </c>
      <c r="C97" s="51">
        <f t="shared" si="10"/>
        <v>6.9201532299037569E-7</v>
      </c>
      <c r="D97" s="52">
        <f t="shared" si="11"/>
        <v>117.64483184486905</v>
      </c>
    </row>
    <row r="98" spans="1:12">
      <c r="A98" s="3">
        <v>600</v>
      </c>
      <c r="B98" s="50">
        <f t="shared" si="9"/>
        <v>0.3728942465945056</v>
      </c>
      <c r="C98" s="51">
        <f t="shared" si="10"/>
        <v>7.3849039694132116E-7</v>
      </c>
      <c r="D98" s="52">
        <f t="shared" si="11"/>
        <v>121.53109864897307</v>
      </c>
    </row>
    <row r="100" spans="1:12">
      <c r="A100" s="3" t="s">
        <v>1</v>
      </c>
      <c r="B100" s="3" t="s">
        <v>96</v>
      </c>
      <c r="C100" s="3" t="s">
        <v>94</v>
      </c>
      <c r="D100" s="3" t="s">
        <v>95</v>
      </c>
    </row>
    <row r="101" spans="1:12">
      <c r="A101" s="3">
        <v>100</v>
      </c>
      <c r="B101" s="52">
        <f>SQRT(C93/$B$91)</f>
        <v>103.30338931439725</v>
      </c>
      <c r="C101" s="53">
        <f>-20*LOG((B101-100)/(B101+100))</f>
        <v>35.783697185843081</v>
      </c>
      <c r="D101" s="53">
        <f>C93*100000000</f>
        <v>53.357951219209625</v>
      </c>
    </row>
    <row r="102" spans="1:12">
      <c r="A102" s="3">
        <v>200</v>
      </c>
      <c r="B102" s="52">
        <f t="shared" ref="B102:B106" si="12">SQRT(C94/$B$91)</f>
        <v>106.71590243841925</v>
      </c>
      <c r="C102" s="53">
        <f t="shared" ref="C102:C106" si="13">-20*LOG((B102-100)/(B102+100))</f>
        <v>29.765390183914771</v>
      </c>
      <c r="D102" s="53">
        <f t="shared" ref="D102:D106" si="14">C94*100000000</f>
        <v>56.941419166231086</v>
      </c>
    </row>
    <row r="103" spans="1:12">
      <c r="A103" s="3">
        <v>300</v>
      </c>
      <c r="B103" s="52">
        <f t="shared" si="12"/>
        <v>110.2411441563326</v>
      </c>
      <c r="C103" s="53">
        <f t="shared" si="13"/>
        <v>26.247384639406338</v>
      </c>
      <c r="D103" s="53">
        <f t="shared" si="14"/>
        <v>60.765549324486528</v>
      </c>
    </row>
    <row r="104" spans="1:12">
      <c r="A104" s="3">
        <v>400</v>
      </c>
      <c r="B104" s="52">
        <f t="shared" si="12"/>
        <v>113.88283833246219</v>
      </c>
      <c r="C104" s="53">
        <f t="shared" si="13"/>
        <v>23.753953450025179</v>
      </c>
      <c r="D104" s="53">
        <f t="shared" si="14"/>
        <v>64.846504333288593</v>
      </c>
    </row>
    <row r="105" spans="1:12">
      <c r="A105" s="3">
        <v>500</v>
      </c>
      <c r="B105" s="52">
        <f t="shared" si="12"/>
        <v>117.64483184486905</v>
      </c>
      <c r="C105" s="53">
        <f t="shared" si="13"/>
        <v>21.822616700896763</v>
      </c>
      <c r="D105" s="53">
        <f t="shared" si="14"/>
        <v>69.201532299037567</v>
      </c>
    </row>
    <row r="106" spans="1:12">
      <c r="A106" s="3">
        <v>600</v>
      </c>
      <c r="B106" s="52">
        <f t="shared" si="12"/>
        <v>121.53109864897307</v>
      </c>
      <c r="C106" s="53">
        <f t="shared" si="13"/>
        <v>20.247370211159861</v>
      </c>
      <c r="D106" s="53">
        <f t="shared" si="14"/>
        <v>73.849039694132117</v>
      </c>
    </row>
    <row r="109" spans="1:12">
      <c r="B109" s="86" t="s">
        <v>7</v>
      </c>
      <c r="C109" s="87"/>
      <c r="D109" s="87"/>
      <c r="E109" s="87"/>
      <c r="F109" s="87"/>
      <c r="G109" s="88"/>
    </row>
    <row r="110" spans="1:12">
      <c r="B110" s="100" t="s">
        <v>132</v>
      </c>
      <c r="C110" s="100"/>
      <c r="D110" s="100"/>
      <c r="E110" s="100" t="s">
        <v>3</v>
      </c>
      <c r="F110" s="100"/>
      <c r="G110" s="100"/>
    </row>
    <row r="111" spans="1:12">
      <c r="A111" s="1" t="s">
        <v>133</v>
      </c>
      <c r="B111" s="1" t="s">
        <v>134</v>
      </c>
      <c r="C111" s="1" t="s">
        <v>135</v>
      </c>
      <c r="D111" s="1" t="s">
        <v>136</v>
      </c>
      <c r="E111" s="1" t="s">
        <v>137</v>
      </c>
      <c r="F111" s="1" t="s">
        <v>138</v>
      </c>
      <c r="G111" s="1" t="s">
        <v>139</v>
      </c>
    </row>
    <row r="112" spans="1:12">
      <c r="A112" s="9">
        <v>1000</v>
      </c>
      <c r="B112" s="45">
        <f>SQRT($B$63/$B$41)+SQRT($B$63/$B$41)/(2*PI()*$B$43*$B$63)*SQRT($B$38*$G$55/PI())/SQRT(A112)</f>
        <v>299.05275858121036</v>
      </c>
      <c r="C112" s="45">
        <f>SQRT($B$63/$B$41)/2*($F$55-$B$39)-(B112-SQRT($B$63/$B$41))</f>
        <v>-201.0007208148759</v>
      </c>
      <c r="D112" s="42">
        <f>SQRT(B112^2+C112^2)</f>
        <v>360.32463443835115</v>
      </c>
      <c r="E112" s="45">
        <f>SQRT($B$63*EXP(0.00065*A112/1000000)/$B$41)+SQRT($B$63*EXP(0.00065*A112/1000000)/$B$41)/(2*PI()*$B$43*$B$63*EXP(0.00065*A112/1000000))*SQRT($B$38*$G$56/PI())/SQRT(A112)</f>
        <v>320.65467061019535</v>
      </c>
      <c r="F112" s="45">
        <f>SQRT($B$63*EXP(0.00065*A112/1000000)/$B$41)/2*($F$56-$B$39)-(E112-SQRT($B$63*EXP(0.00065*A112/1000000)/$B$41))</f>
        <v>-222.58501074035303</v>
      </c>
      <c r="G112" s="42">
        <f>SQRT(E112^2+F112^2)</f>
        <v>390.33768046451263</v>
      </c>
      <c r="I112" s="11"/>
      <c r="K112" s="11"/>
      <c r="L112" s="11"/>
    </row>
    <row r="113" spans="1:12">
      <c r="A113" s="9">
        <v>2000</v>
      </c>
      <c r="B113" s="45">
        <f t="shared" ref="B113:B136" si="15">SQRT($B$63/$B$41)+SQRT($B$63/$B$41)/(2*PI()*$B$43*$B$63)*SQRT($B$38*$G$55/PI())/SQRT(A113)</f>
        <v>240.75155540666259</v>
      </c>
      <c r="C113" s="45">
        <f t="shared" ref="C113:C136" si="16">SQRT($B$63/$B$41)/2*($F$55-$B$39)-(B113-SQRT($B$63/$B$41))</f>
        <v>-142.69951764032814</v>
      </c>
      <c r="D113" s="42">
        <f t="shared" ref="D113:D136" si="17">SQRT(B113^2+C113^2)</f>
        <v>279.8650813615547</v>
      </c>
      <c r="E113" s="45">
        <f t="shared" ref="E113:E136" si="18">SQRT($B$63*EXP(0.00065*A113/1000000)/$B$41)+SQRT($B$63*EXP(0.00065*A113/1000000)/$B$41)/(2*PI()*$B$43*$B$63*EXP(0.00065*A113/1000000))*SQRT($B$38*$G$56/PI())/SQRT(A113)</f>
        <v>256.02640519943128</v>
      </c>
      <c r="F113" s="45">
        <f t="shared" ref="F113:F136" si="19">SQRT($B$63*EXP(0.00065*A113/1000000)/$B$41)/2*($F$56-$B$39)-(E113-SQRT($B$63*EXP(0.00065*A113/1000000)/$B$41))</f>
        <v>-157.95671345694433</v>
      </c>
      <c r="G113" s="42">
        <f t="shared" ref="G113:G136" si="20">SQRT(E113^2+F113^2)</f>
        <v>300.83191899375072</v>
      </c>
      <c r="I113" s="11"/>
      <c r="L113" s="11"/>
    </row>
    <row r="114" spans="1:12">
      <c r="A114" s="9">
        <v>5000</v>
      </c>
      <c r="B114" s="45">
        <f t="shared" si="15"/>
        <v>189.01909985928819</v>
      </c>
      <c r="C114" s="45">
        <f t="shared" si="16"/>
        <v>-90.967062092953739</v>
      </c>
      <c r="D114" s="42">
        <f t="shared" si="17"/>
        <v>209.76946035454938</v>
      </c>
      <c r="E114" s="45">
        <f t="shared" si="18"/>
        <v>198.67978828953525</v>
      </c>
      <c r="F114" s="45">
        <f t="shared" si="19"/>
        <v>-100.61000092905221</v>
      </c>
      <c r="G114" s="42">
        <f t="shared" si="20"/>
        <v>222.70166268287812</v>
      </c>
      <c r="I114" s="11"/>
      <c r="L114" s="11"/>
    </row>
    <row r="115" spans="1:12">
      <c r="A115" s="9">
        <v>7000</v>
      </c>
      <c r="B115" s="45">
        <f t="shared" si="15"/>
        <v>175.2348709981801</v>
      </c>
      <c r="C115" s="45">
        <f t="shared" si="16"/>
        <v>-77.182833231845649</v>
      </c>
      <c r="D115" s="42">
        <f t="shared" si="17"/>
        <v>191.47963275357441</v>
      </c>
      <c r="E115" s="45">
        <f t="shared" si="18"/>
        <v>183.39967888152972</v>
      </c>
      <c r="F115" s="45">
        <f t="shared" si="19"/>
        <v>-85.329827775664199</v>
      </c>
      <c r="G115" s="42">
        <f t="shared" si="20"/>
        <v>202.27857455022945</v>
      </c>
      <c r="I115" s="11"/>
      <c r="L115" s="11"/>
    </row>
    <row r="116" spans="1:12">
      <c r="A116" s="9">
        <v>10000</v>
      </c>
      <c r="B116" s="45">
        <f t="shared" si="15"/>
        <v>162.94600916562513</v>
      </c>
      <c r="C116" s="45">
        <f t="shared" si="16"/>
        <v>-64.893971399290677</v>
      </c>
      <c r="D116" s="42">
        <f t="shared" si="17"/>
        <v>175.39278613151666</v>
      </c>
      <c r="E116" s="45">
        <f t="shared" si="18"/>
        <v>169.77724417358027</v>
      </c>
      <c r="F116" s="45">
        <f t="shared" si="19"/>
        <v>-71.707297449563299</v>
      </c>
      <c r="G116" s="42">
        <f t="shared" si="20"/>
        <v>184.29934657153737</v>
      </c>
      <c r="I116" s="11"/>
      <c r="L116" s="11"/>
    </row>
    <row r="117" spans="1:12">
      <c r="A117" s="9">
        <v>20000</v>
      </c>
      <c r="B117" s="45">
        <f t="shared" si="15"/>
        <v>144.50954992964409</v>
      </c>
      <c r="C117" s="45">
        <f t="shared" si="16"/>
        <v>-46.457512163309651</v>
      </c>
      <c r="D117" s="42">
        <f t="shared" si="17"/>
        <v>151.79364432436677</v>
      </c>
      <c r="E117" s="45">
        <f t="shared" si="18"/>
        <v>149.34022236581256</v>
      </c>
      <c r="F117" s="45">
        <f t="shared" si="19"/>
        <v>-51.269956913950793</v>
      </c>
      <c r="G117" s="42">
        <f t="shared" si="20"/>
        <v>157.89588499460243</v>
      </c>
      <c r="I117" s="11"/>
      <c r="L117" s="11"/>
    </row>
    <row r="118" spans="1:12">
      <c r="A118" s="9">
        <v>50000</v>
      </c>
      <c r="B118" s="45">
        <f t="shared" si="15"/>
        <v>128.15031108133252</v>
      </c>
      <c r="C118" s="45">
        <f t="shared" si="16"/>
        <v>-30.098273314998075</v>
      </c>
      <c r="D118" s="42">
        <f t="shared" si="17"/>
        <v>131.6374121850875</v>
      </c>
      <c r="E118" s="45">
        <f t="shared" si="18"/>
        <v>131.20640625470082</v>
      </c>
      <c r="F118" s="45">
        <f t="shared" si="19"/>
        <v>-33.1351846130895</v>
      </c>
      <c r="G118" s="42">
        <f t="shared" si="20"/>
        <v>135.32576067259745</v>
      </c>
      <c r="I118" s="11"/>
      <c r="L118" s="11"/>
    </row>
    <row r="119" spans="1:12">
      <c r="A119" s="9">
        <v>70000</v>
      </c>
      <c r="B119" s="45">
        <f t="shared" si="15"/>
        <v>123.79135518231948</v>
      </c>
      <c r="C119" s="45">
        <f t="shared" si="16"/>
        <v>-25.739317415985035</v>
      </c>
      <c r="D119" s="42">
        <f t="shared" si="17"/>
        <v>126.43896582508101</v>
      </c>
      <c r="E119" s="45">
        <f t="shared" si="18"/>
        <v>126.37495723701117</v>
      </c>
      <c r="F119" s="45">
        <f t="shared" si="19"/>
        <v>-28.303098130387394</v>
      </c>
      <c r="G119" s="42">
        <f t="shared" si="20"/>
        <v>129.50557972703237</v>
      </c>
      <c r="I119" s="11"/>
      <c r="L119" s="11"/>
    </row>
    <row r="120" spans="1:12">
      <c r="A120" s="9">
        <v>100000</v>
      </c>
      <c r="B120" s="45">
        <f t="shared" si="15"/>
        <v>119.90527585812103</v>
      </c>
      <c r="C120" s="45">
        <f t="shared" si="16"/>
        <v>-21.853238091786586</v>
      </c>
      <c r="D120" s="42">
        <f t="shared" si="17"/>
        <v>121.88042990451098</v>
      </c>
      <c r="E120" s="45">
        <f t="shared" si="18"/>
        <v>122.06800391895524</v>
      </c>
      <c r="F120" s="45">
        <f t="shared" si="19"/>
        <v>-23.995188607043705</v>
      </c>
      <c r="G120" s="42">
        <f t="shared" si="20"/>
        <v>124.4040459834232</v>
      </c>
      <c r="I120" s="11"/>
      <c r="L120" s="11"/>
    </row>
    <row r="121" spans="1:12">
      <c r="A121" s="9">
        <v>200000</v>
      </c>
      <c r="B121" s="45">
        <f t="shared" si="15"/>
        <v>114.07515554066626</v>
      </c>
      <c r="C121" s="45">
        <f t="shared" si="16"/>
        <v>-16.023117774331816</v>
      </c>
      <c r="D121" s="42">
        <f t="shared" si="17"/>
        <v>115.1949713088089</v>
      </c>
      <c r="E121" s="45">
        <f t="shared" si="18"/>
        <v>115.60813023400037</v>
      </c>
      <c r="F121" s="45">
        <f t="shared" si="19"/>
        <v>-17.532127503795916</v>
      </c>
      <c r="G121" s="42">
        <f t="shared" si="20"/>
        <v>116.92995882583277</v>
      </c>
      <c r="I121" s="11"/>
      <c r="L121" s="11"/>
    </row>
    <row r="122" spans="1:12">
      <c r="A122" s="9">
        <v>500000</v>
      </c>
      <c r="B122" s="45">
        <f t="shared" si="15"/>
        <v>108.90190998592882</v>
      </c>
      <c r="C122" s="45">
        <f t="shared" si="16"/>
        <v>-10.849872219594381</v>
      </c>
      <c r="D122" s="42">
        <f t="shared" si="17"/>
        <v>109.44106051096577</v>
      </c>
      <c r="E122" s="45">
        <f t="shared" si="18"/>
        <v>109.88262651853283</v>
      </c>
      <c r="F122" s="45">
        <f t="shared" si="19"/>
        <v>-11.79706091187952</v>
      </c>
      <c r="G122" s="42">
        <f t="shared" si="20"/>
        <v>110.51408171255811</v>
      </c>
      <c r="I122" s="11"/>
      <c r="L122" s="11"/>
    </row>
    <row r="123" spans="1:12">
      <c r="A123" s="9">
        <v>700000</v>
      </c>
      <c r="B123" s="45">
        <f t="shared" si="15"/>
        <v>107.52348709981801</v>
      </c>
      <c r="C123" s="45">
        <f t="shared" si="16"/>
        <v>-9.4714493334835694</v>
      </c>
      <c r="D123" s="42">
        <f t="shared" si="17"/>
        <v>107.93983801443041</v>
      </c>
      <c r="E123" s="45">
        <f t="shared" si="18"/>
        <v>108.36081957350352</v>
      </c>
      <c r="F123" s="45">
        <f t="shared" si="19"/>
        <v>-10.268878197875535</v>
      </c>
      <c r="G123" s="42">
        <f t="shared" si="20"/>
        <v>108.84630024986696</v>
      </c>
      <c r="I123" s="11"/>
      <c r="L123" s="11"/>
    </row>
    <row r="124" spans="1:12">
      <c r="A124" s="9">
        <v>1000000</v>
      </c>
      <c r="B124" s="45">
        <f t="shared" si="15"/>
        <v>106.29460091656252</v>
      </c>
      <c r="C124" s="45">
        <f t="shared" si="16"/>
        <v>-8.2425631502280723</v>
      </c>
      <c r="D124" s="42">
        <f t="shared" si="17"/>
        <v>106.61370470674392</v>
      </c>
      <c r="E124" s="45">
        <f t="shared" si="18"/>
        <v>107.00795248789028</v>
      </c>
      <c r="F124" s="45">
        <f t="shared" si="19"/>
        <v>-8.9064466817197747</v>
      </c>
      <c r="G124" s="42">
        <f t="shared" si="20"/>
        <v>107.37796183642573</v>
      </c>
      <c r="I124" s="11"/>
      <c r="L124" s="11"/>
    </row>
    <row r="125" spans="1:12">
      <c r="A125" s="9">
        <v>2000000</v>
      </c>
      <c r="B125" s="45">
        <f t="shared" si="15"/>
        <v>104.45095499296441</v>
      </c>
      <c r="C125" s="45">
        <f t="shared" si="16"/>
        <v>-6.3989172266299681</v>
      </c>
      <c r="D125" s="42">
        <f t="shared" si="17"/>
        <v>104.64677797531819</v>
      </c>
      <c r="E125" s="45">
        <f t="shared" si="18"/>
        <v>104.99580438580386</v>
      </c>
      <c r="F125" s="45">
        <f t="shared" si="19"/>
        <v>-6.8624104086992466</v>
      </c>
      <c r="G125" s="42">
        <f t="shared" si="20"/>
        <v>105.21982520057432</v>
      </c>
      <c r="I125" s="11"/>
      <c r="L125" s="11"/>
    </row>
    <row r="126" spans="1:12">
      <c r="A126" s="9">
        <v>5000000</v>
      </c>
      <c r="B126" s="45">
        <f t="shared" si="15"/>
        <v>102.81503110813325</v>
      </c>
      <c r="C126" s="45">
        <f t="shared" si="16"/>
        <v>-4.7629933417988104</v>
      </c>
      <c r="D126" s="42">
        <f t="shared" si="17"/>
        <v>102.92529682901298</v>
      </c>
      <c r="E126" s="45">
        <f t="shared" si="18"/>
        <v>103.27809419361715</v>
      </c>
      <c r="F126" s="45">
        <f t="shared" si="19"/>
        <v>-5.0489734981930345</v>
      </c>
      <c r="G126" s="42">
        <f t="shared" si="20"/>
        <v>103.40143554927617</v>
      </c>
      <c r="I126" s="11"/>
      <c r="L126" s="11"/>
    </row>
    <row r="127" spans="1:12">
      <c r="A127" s="9">
        <v>7000000</v>
      </c>
      <c r="B127" s="45">
        <f t="shared" si="15"/>
        <v>102.37913551823195</v>
      </c>
      <c r="C127" s="45">
        <f t="shared" si="16"/>
        <v>-4.3270977518975036</v>
      </c>
      <c r="D127" s="42">
        <f t="shared" si="17"/>
        <v>102.4705380312555</v>
      </c>
      <c r="E127" s="45">
        <f t="shared" si="18"/>
        <v>102.85909409529053</v>
      </c>
      <c r="F127" s="45">
        <f t="shared" si="19"/>
        <v>-4.5661037160158742</v>
      </c>
      <c r="G127" s="42">
        <f t="shared" si="20"/>
        <v>102.9603930705844</v>
      </c>
      <c r="I127" s="11"/>
      <c r="L127" s="11"/>
    </row>
    <row r="128" spans="1:12">
      <c r="A128" s="9">
        <v>10000000</v>
      </c>
      <c r="B128" s="45">
        <f t="shared" si="15"/>
        <v>101.9905275858121</v>
      </c>
      <c r="C128" s="45">
        <f t="shared" si="16"/>
        <v>-3.9384898194776587</v>
      </c>
      <c r="D128" s="42">
        <f t="shared" si="17"/>
        <v>102.06654407439505</v>
      </c>
      <c r="E128" s="45">
        <f t="shared" si="18"/>
        <v>102.5249161584736</v>
      </c>
      <c r="F128" s="45">
        <f t="shared" si="19"/>
        <v>-4.1360433785045023</v>
      </c>
      <c r="G128" s="42">
        <f t="shared" si="20"/>
        <v>102.60831003447485</v>
      </c>
      <c r="I128" s="11"/>
      <c r="L128" s="11"/>
    </row>
    <row r="129" spans="1:12">
      <c r="A129" s="9">
        <v>20000000</v>
      </c>
      <c r="B129" s="45">
        <f t="shared" si="15"/>
        <v>101.40751555406662</v>
      </c>
      <c r="C129" s="45">
        <f t="shared" si="16"/>
        <v>-3.355477787732176</v>
      </c>
      <c r="D129" s="42">
        <f t="shared" si="17"/>
        <v>101.463015143609</v>
      </c>
      <c r="E129" s="45">
        <f t="shared" si="18"/>
        <v>102.20227267127842</v>
      </c>
      <c r="F129" s="45">
        <f t="shared" si="19"/>
        <v>-3.4931158751647957</v>
      </c>
      <c r="G129" s="42">
        <f t="shared" si="20"/>
        <v>102.26194990167004</v>
      </c>
      <c r="I129" s="11"/>
      <c r="L129" s="11"/>
    </row>
    <row r="130" spans="1:12">
      <c r="A130" s="9">
        <v>50000000</v>
      </c>
      <c r="B130" s="45">
        <f t="shared" si="15"/>
        <v>100.89019099859289</v>
      </c>
      <c r="C130" s="45">
        <f t="shared" si="16"/>
        <v>-2.8381532322584411</v>
      </c>
      <c r="D130" s="42">
        <f t="shared" si="17"/>
        <v>100.93010330670593</v>
      </c>
      <c r="E130" s="45">
        <f t="shared" si="18"/>
        <v>102.60916691488764</v>
      </c>
      <c r="F130" s="45">
        <f t="shared" si="19"/>
        <v>-2.9328887849115013</v>
      </c>
      <c r="G130" s="42">
        <f t="shared" si="20"/>
        <v>102.65107389400235</v>
      </c>
      <c r="I130" s="11"/>
      <c r="L130" s="11"/>
    </row>
    <row r="131" spans="1:12">
      <c r="A131" s="9">
        <v>70000000</v>
      </c>
      <c r="B131" s="45">
        <f t="shared" si="15"/>
        <v>100.7523487099818</v>
      </c>
      <c r="C131" s="45">
        <f t="shared" si="16"/>
        <v>-2.7003109436473585</v>
      </c>
      <c r="D131" s="42">
        <f t="shared" si="17"/>
        <v>100.78852836394702</v>
      </c>
      <c r="E131" s="45">
        <f t="shared" si="18"/>
        <v>103.11631267671829</v>
      </c>
      <c r="F131" s="45">
        <f t="shared" si="19"/>
        <v>-2.7900285078321749</v>
      </c>
      <c r="G131" s="42">
        <f t="shared" si="20"/>
        <v>103.15405081293342</v>
      </c>
      <c r="I131" s="11"/>
      <c r="L131" s="11"/>
    </row>
    <row r="132" spans="1:12">
      <c r="A132" s="9">
        <v>100000000</v>
      </c>
      <c r="B132" s="45">
        <f t="shared" si="15"/>
        <v>100.62946009165626</v>
      </c>
      <c r="C132" s="45">
        <f t="shared" si="16"/>
        <v>-2.5774223253218116</v>
      </c>
      <c r="D132" s="42">
        <f t="shared" si="17"/>
        <v>100.66246243849446</v>
      </c>
      <c r="E132" s="45">
        <f t="shared" si="18"/>
        <v>103.9788477520294</v>
      </c>
      <c r="F132" s="45">
        <f t="shared" si="19"/>
        <v>-2.6695981428924309</v>
      </c>
      <c r="G132" s="42">
        <f t="shared" si="20"/>
        <v>104.01311231803538</v>
      </c>
      <c r="I132" s="11"/>
      <c r="L132" s="11"/>
    </row>
    <row r="133" spans="1:12">
      <c r="A133" s="9">
        <v>200000000</v>
      </c>
      <c r="B133" s="45">
        <f t="shared" si="15"/>
        <v>100.44509549929644</v>
      </c>
      <c r="C133" s="45">
        <f t="shared" si="16"/>
        <v>-2.3930577329619984</v>
      </c>
      <c r="D133" s="42">
        <f t="shared" si="17"/>
        <v>100.473598199607</v>
      </c>
      <c r="E133" s="45">
        <f t="shared" si="18"/>
        <v>107.17825052286182</v>
      </c>
      <c r="F133" s="45">
        <f t="shared" si="19"/>
        <v>-2.5223619876405747</v>
      </c>
      <c r="G133" s="42">
        <f t="shared" si="20"/>
        <v>107.20792738943339</v>
      </c>
      <c r="I133" s="11"/>
      <c r="L133" s="11"/>
    </row>
    <row r="134" spans="1:12">
      <c r="A134" s="9">
        <v>500000000</v>
      </c>
      <c r="B134" s="45">
        <f t="shared" si="15"/>
        <v>100.28150311081332</v>
      </c>
      <c r="C134" s="45">
        <f t="shared" si="16"/>
        <v>-2.2294653444788741</v>
      </c>
      <c r="D134" s="42">
        <f t="shared" si="17"/>
        <v>100.30628286346919</v>
      </c>
      <c r="E134" s="45">
        <f t="shared" si="18"/>
        <v>117.91008181661843</v>
      </c>
      <c r="F134" s="45">
        <f t="shared" si="19"/>
        <v>-2.5362328684143938</v>
      </c>
      <c r="G134" s="42">
        <f t="shared" si="20"/>
        <v>117.93735570702134</v>
      </c>
      <c r="I134" s="11"/>
      <c r="L134" s="11"/>
    </row>
    <row r="135" spans="1:12">
      <c r="A135" s="9">
        <v>700000000</v>
      </c>
      <c r="B135" s="45">
        <f t="shared" si="15"/>
        <v>100.2379135518232</v>
      </c>
      <c r="C135" s="45">
        <f t="shared" si="16"/>
        <v>-2.1858757854887534</v>
      </c>
      <c r="D135" s="42">
        <f t="shared" si="17"/>
        <v>100.26174428051991</v>
      </c>
      <c r="E135" s="45">
        <f t="shared" si="18"/>
        <v>125.7558130813926</v>
      </c>
      <c r="F135" s="45">
        <f t="shared" si="19"/>
        <v>-2.6335689983779749</v>
      </c>
      <c r="G135" s="42">
        <f t="shared" si="20"/>
        <v>125.78338606283174</v>
      </c>
      <c r="I135" s="11"/>
      <c r="L135" s="11"/>
    </row>
    <row r="136" spans="1:12">
      <c r="A136" s="9">
        <v>1000000000</v>
      </c>
      <c r="B136" s="45">
        <f t="shared" si="15"/>
        <v>100.19905275858122</v>
      </c>
      <c r="C136" s="45">
        <f t="shared" si="16"/>
        <v>-2.1470149922467732</v>
      </c>
      <c r="D136" s="42">
        <f t="shared" si="17"/>
        <v>100.22205269846489</v>
      </c>
      <c r="E136" s="45">
        <f t="shared" si="18"/>
        <v>138.5624936616322</v>
      </c>
      <c r="F136" s="45">
        <f t="shared" si="19"/>
        <v>-2.8311230735643291</v>
      </c>
      <c r="G136" s="42">
        <f t="shared" si="20"/>
        <v>138.59141354206449</v>
      </c>
      <c r="I136" s="11"/>
      <c r="L136" s="11"/>
    </row>
  </sheetData>
  <mergeCells count="28">
    <mergeCell ref="B109:G109"/>
    <mergeCell ref="B110:D110"/>
    <mergeCell ref="E110:G110"/>
    <mergeCell ref="B84:C84"/>
    <mergeCell ref="D84:E84"/>
    <mergeCell ref="F84:G84"/>
    <mergeCell ref="B85:C85"/>
    <mergeCell ref="D85:E85"/>
    <mergeCell ref="F85:G85"/>
    <mergeCell ref="B80:E80"/>
    <mergeCell ref="F80:G80"/>
    <mergeCell ref="B82:C82"/>
    <mergeCell ref="D82:E82"/>
    <mergeCell ref="B83:C83"/>
    <mergeCell ref="D83:E83"/>
    <mergeCell ref="F83:G83"/>
    <mergeCell ref="E41:F41"/>
    <mergeCell ref="G41:H41"/>
    <mergeCell ref="B51:E51"/>
    <mergeCell ref="F51:G51"/>
    <mergeCell ref="B53:C53"/>
    <mergeCell ref="D53:E53"/>
    <mergeCell ref="B16:E16"/>
    <mergeCell ref="F16:G16"/>
    <mergeCell ref="B18:C18"/>
    <mergeCell ref="D18:E18"/>
    <mergeCell ref="E39:F39"/>
    <mergeCell ref="G39:H39"/>
  </mergeCells>
  <phoneticPr fontId="2"/>
  <pageMargins left="0.7" right="0.7" top="0.75" bottom="0.75" header="0.3" footer="0.3"/>
  <pageSetup paperSize="9" orientation="portrait" horizontalDpi="4294967293" verticalDpi="0" r:id="rId1"/>
  <drawing r:id="rId2"/>
  <legacyDrawing r:id="rId3"/>
  <oleObjects>
    <mc:AlternateContent xmlns:mc="http://schemas.openxmlformats.org/markup-compatibility/2006">
      <mc:Choice Requires="x14">
        <oleObject progId="Word.Document.8" shapeId="4097" r:id="rId4">
          <objectPr defaultSize="0" r:id="rId5">
            <anchor moveWithCells="1">
              <from>
                <xdr:col>0</xdr:col>
                <xdr:colOff>146050</xdr:colOff>
                <xdr:row>0</xdr:row>
                <xdr:rowOff>114300</xdr:rowOff>
              </from>
              <to>
                <xdr:col>2</xdr:col>
                <xdr:colOff>736600</xdr:colOff>
                <xdr:row>14</xdr:row>
                <xdr:rowOff>158750</xdr:rowOff>
              </to>
            </anchor>
          </objectPr>
        </oleObject>
      </mc:Choice>
      <mc:Fallback>
        <oleObject progId="Word.Document.8" shapeId="4097" r:id="rId4"/>
      </mc:Fallback>
    </mc:AlternateContent>
    <mc:AlternateContent xmlns:mc="http://schemas.openxmlformats.org/markup-compatibility/2006">
      <mc:Choice Requires="x14">
        <oleObject progId="Word.Document.12" shapeId="4098" r:id="rId6">
          <objectPr defaultSize="0" r:id="rId7">
            <anchor moveWithCells="1">
              <from>
                <xdr:col>3</xdr:col>
                <xdr:colOff>82550</xdr:colOff>
                <xdr:row>0</xdr:row>
                <xdr:rowOff>82550</xdr:rowOff>
              </from>
              <to>
                <xdr:col>6</xdr:col>
                <xdr:colOff>1162050</xdr:colOff>
                <xdr:row>8</xdr:row>
                <xdr:rowOff>6350</xdr:rowOff>
              </to>
            </anchor>
          </objectPr>
        </oleObject>
      </mc:Choice>
      <mc:Fallback>
        <oleObject progId="Word.Document.12" shapeId="4098"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Formula &amp; Calculated Result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Shinji Hinoshita</dc:creator>
  <cp:lastModifiedBy>Cheryl Thibideau</cp:lastModifiedBy>
  <dcterms:created xsi:type="dcterms:W3CDTF">2020-10-09T06:58:37Z</dcterms:created>
  <dcterms:modified xsi:type="dcterms:W3CDTF">2021-01-27T16:52:33Z</dcterms:modified>
</cp:coreProperties>
</file>